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00" windowHeight="2850" tabRatio="631" activeTab="2"/>
  </bookViews>
  <sheets>
    <sheet name="BDI" sheetId="1" r:id="rId1"/>
    <sheet name="ORÇAMENTO" sheetId="2" r:id="rId2"/>
    <sheet name="QUADRO RESUMO" sheetId="3" r:id="rId3"/>
    <sheet name="CRONOGRAMA" sheetId="4" r:id="rId4"/>
    <sheet name="COMPOSIÇÃO UNITÁRIA" sheetId="5" r:id="rId5"/>
    <sheet name="COMPOSIÇÕES" sheetId="6" state="hidden" r:id="rId6"/>
  </sheets>
  <externalReferences>
    <externalReference r:id="rId9"/>
    <externalReference r:id="rId10"/>
    <externalReference r:id="rId11"/>
  </externalReferences>
  <definedNames>
    <definedName name="_xlnm._FilterDatabase" localSheetId="4" hidden="1">'COMPOSIÇÃO UNITÁRIA'!$C$1:$C$428</definedName>
    <definedName name="_xlnm.Print_Area" localSheetId="5">'COMPOSIÇÕES'!$A$1:$G$591</definedName>
    <definedName name="_xlnm.Print_Area" localSheetId="2">'QUADRO RESUMO'!$A$1:$E$30</definedName>
    <definedName name="e" localSheetId="4">'[2]ORÇAMENTO'!#REF!</definedName>
    <definedName name="e">#REF!</definedName>
    <definedName name="_xlnm.Print_Titles" localSheetId="5">'COMPOSIÇÕES'!$1:$5</definedName>
  </definedNames>
  <calcPr fullCalcOnLoad="1"/>
</workbook>
</file>

<file path=xl/sharedStrings.xml><?xml version="1.0" encoding="utf-8"?>
<sst xmlns="http://schemas.openxmlformats.org/spreadsheetml/2006/main" count="2799" uniqueCount="569">
  <si>
    <t>SUBTOTAL</t>
  </si>
  <si>
    <t>TOTAL GERAL DO ORÇAMENTO</t>
  </si>
  <si>
    <t>Importa o presente orçamento em:</t>
  </si>
  <si>
    <t>%</t>
  </si>
  <si>
    <t xml:space="preserve">Importa o presente orçamento em R$ </t>
  </si>
  <si>
    <t>DESCRIÇÃO / ETAPA</t>
  </si>
  <si>
    <t>À Executar</t>
  </si>
  <si>
    <t>1º MÊS</t>
  </si>
  <si>
    <t>2º MÊS</t>
  </si>
  <si>
    <t>3º MÊS</t>
  </si>
  <si>
    <t>4º MÊS</t>
  </si>
  <si>
    <t>5º MÊS</t>
  </si>
  <si>
    <t>Total</t>
  </si>
  <si>
    <t>Valor(R$)</t>
  </si>
  <si>
    <t>Valor (R$)</t>
  </si>
  <si>
    <t>VALOR TOTAL</t>
  </si>
  <si>
    <t>VALOR ACUMULADO</t>
  </si>
  <si>
    <t>OBRA:</t>
  </si>
  <si>
    <t>ENDEREÇO:</t>
  </si>
  <si>
    <t>MUNICÍPIO:</t>
  </si>
  <si>
    <t>un</t>
  </si>
  <si>
    <t>m</t>
  </si>
  <si>
    <t>3.1</t>
  </si>
  <si>
    <t>4.1</t>
  </si>
  <si>
    <t>4.2</t>
  </si>
  <si>
    <t>5.1</t>
  </si>
  <si>
    <t>6.1</t>
  </si>
  <si>
    <t>M³</t>
  </si>
  <si>
    <t>KG</t>
  </si>
  <si>
    <t>6º MÊS</t>
  </si>
  <si>
    <t>Descrição dos Serviços</t>
  </si>
  <si>
    <t>unidade</t>
  </si>
  <si>
    <t>quantidade</t>
  </si>
  <si>
    <t>valor unitário</t>
  </si>
  <si>
    <t>valor total</t>
  </si>
  <si>
    <t>TOTAL</t>
  </si>
  <si>
    <t>h</t>
  </si>
  <si>
    <t>ITEM</t>
  </si>
  <si>
    <t>UN</t>
  </si>
  <si>
    <t>2.1</t>
  </si>
  <si>
    <t>2.2</t>
  </si>
  <si>
    <t>2.3</t>
  </si>
  <si>
    <t>M</t>
  </si>
  <si>
    <t>6.2</t>
  </si>
  <si>
    <t>6.3</t>
  </si>
  <si>
    <t>7.1</t>
  </si>
  <si>
    <t>8.1</t>
  </si>
  <si>
    <t>8.2</t>
  </si>
  <si>
    <t>8.3</t>
  </si>
  <si>
    <t>11.1</t>
  </si>
  <si>
    <t>11.2</t>
  </si>
  <si>
    <t>11.3</t>
  </si>
  <si>
    <t>11.4</t>
  </si>
  <si>
    <t>12.1</t>
  </si>
  <si>
    <t>Un</t>
  </si>
  <si>
    <t>DESCRIÇÃO</t>
  </si>
  <si>
    <t>VALOR (R$)</t>
  </si>
  <si>
    <t>und</t>
  </si>
  <si>
    <t>2.4</t>
  </si>
  <si>
    <t>2.5</t>
  </si>
  <si>
    <t>H</t>
  </si>
  <si>
    <t>3.0</t>
  </si>
  <si>
    <t>5.0</t>
  </si>
  <si>
    <t>CÁCERES-MT</t>
  </si>
  <si>
    <t>AV. TANCREDO NEVES, 1095 - CAVALHADA</t>
  </si>
  <si>
    <t>************</t>
  </si>
  <si>
    <t xml:space="preserve">AJUDANTE </t>
  </si>
  <si>
    <t>Placa de Sinalização Indicativa do tipo de Extintor Manual de Pó Quimico Seco Pressurizado - 20 x 30 cm</t>
  </si>
  <si>
    <t>Placa de Saida Fotoluminescente 20 x 30 cm</t>
  </si>
  <si>
    <t>Placa seta reta fotoluminescente 5x 25 cm</t>
  </si>
  <si>
    <t>ELETRICISTA</t>
  </si>
  <si>
    <t>Fornecimento e instalação de Acionador Manual para alarme de emergência Tipo Quebra vidro</t>
  </si>
  <si>
    <t>Sirene Eletronica Bitonal 12 V RM</t>
  </si>
  <si>
    <t>Central de Alarme sem Bateria IPA 06 a 12 pontos</t>
  </si>
  <si>
    <t>Bateria Selada para Central de Alarme e Detecção 12 V / 1,3 A</t>
  </si>
  <si>
    <t>Placa de indicação de Acionadores de Alarme de emergência  - 15 x 20 cm</t>
  </si>
  <si>
    <t>PEDREIRO</t>
  </si>
  <si>
    <t>SERVENTE</t>
  </si>
  <si>
    <t>m³</t>
  </si>
  <si>
    <t>kg</t>
  </si>
  <si>
    <t>m²</t>
  </si>
  <si>
    <t xml:space="preserve">Fornecimento e Instalação de Placa de Sinalização Indicativa do tipo de Extintor Manual de Pó Quimico </t>
  </si>
  <si>
    <t>Fornecimento e Instalação de Placa de Sinalização Indicativa do tipo de Extintor Manual de Água - 20 x 30 cm</t>
  </si>
  <si>
    <t>Fornecimento e Instalação de Placa de Saida Fotoluminescente 20 x 30 cm  +  Placa seta reta fotoluminescente 5x 25 cm</t>
  </si>
  <si>
    <t>Placa de Sinalização Indicativa do tipo de Extintor Manual de Água - 20 x 30 cm</t>
  </si>
  <si>
    <t>Fornecimento e instalação de Sirene Eletronica Bitonal 12 V RM</t>
  </si>
  <si>
    <t>Fornecimento e instalação de Central de Alarme sem Bateria IPA 06 a 12 pontos</t>
  </si>
  <si>
    <t>Fornecimento e instalação de Bateria Selada para Central de Alarme e Detecção 12 V / 1,3 A</t>
  </si>
  <si>
    <t>Fornecimento e Instalação de Placa de indicação de Acionadores de Alarme de emergência  - 15 x 20 cm</t>
  </si>
  <si>
    <t>6.0</t>
  </si>
  <si>
    <t>SUB-TOTAL</t>
  </si>
  <si>
    <t>VALOR UNIT SEM BDI</t>
  </si>
  <si>
    <t>VALOR UNIT COM BDI</t>
  </si>
  <si>
    <t>COMPOSIÇÃO ANEXA</t>
  </si>
  <si>
    <t>***********</t>
  </si>
  <si>
    <t>COMPOSIÇÕES</t>
  </si>
  <si>
    <t>BLOCO 3 E 4</t>
  </si>
  <si>
    <t>COTAÇÃO</t>
  </si>
  <si>
    <t>UND</t>
  </si>
  <si>
    <t>MOTORISTA OPERADOR DE MUNCK</t>
  </si>
  <si>
    <t>GUINCHO TIPO MUNCK CAP * 6T * MONTADO EM CAMINHAO CARROCERIA, OU EQUIV</t>
  </si>
  <si>
    <t>QUANTIDADE</t>
  </si>
  <si>
    <t>CÓDIGO</t>
  </si>
  <si>
    <t>COMPOSIÇÃO</t>
  </si>
  <si>
    <t>UNID</t>
  </si>
  <si>
    <t>2.0</t>
  </si>
  <si>
    <t xml:space="preserve">un    </t>
  </si>
  <si>
    <t xml:space="preserve">m     </t>
  </si>
  <si>
    <t>Fornecimento e instalação de Parafuso auto atarrachante 4.2 x 38mm S-6 com Bucha S-6</t>
  </si>
  <si>
    <t>Fornecimento e instalação de caixa de equipotencialização 200 x 200 x100 cm</t>
  </si>
  <si>
    <t>Fornecimento e instalação de caixa de inspeção em PVC redonda de 300 mm tampa em aço fundido reforçado com bocal interior quadrado articulado e borda exterior redonda de 300mm</t>
  </si>
  <si>
    <t xml:space="preserve">Fornecimento e instalação de caixa de inspeção  suspensa </t>
  </si>
  <si>
    <t>Fornecimento e instalação de haste de aterramento cobreada de alta camada 5/8" x 2,4 m</t>
  </si>
  <si>
    <t>Fornecimento e instalação de parafuso sextavado 1/4" x  5/8" com porca e arruela lisa de 1/4</t>
  </si>
  <si>
    <t>Fornecimento e Instalação de grampo tipo X estampado em cobre com 4 parafusos</t>
  </si>
  <si>
    <t>Fornecimento e Instalação de captor aéreo com bandeira de 35cm</t>
  </si>
  <si>
    <t>FORNECIMENTO E INSTALAÇÃO DE DISTRIBUIDOR INTERNO OPTICO MM COMPLETO 24FO</t>
  </si>
  <si>
    <t>INSTALAÇÕES ELÉTRICAS BAIXA TENSÃO</t>
  </si>
  <si>
    <t>CABO DE COBRE ISOLADO PVC RESISTENTE A CHAMA 450/750 V 4 MM2 FORNECIMENTO E INSTALACAO</t>
  </si>
  <si>
    <t xml:space="preserve">DISJUNTOR TERMOMAGNETICO BIPOLAR PADRAO NEMA (AMERICANO) 10 A 50A 240V, FORNECIMENTO E INSTALACAO - DISJUNTOR DE 10 A </t>
  </si>
  <si>
    <t>73953/006</t>
  </si>
  <si>
    <t>LUMINARIA TIPO CALHA, DE SOBREPOR, COM REATOR DE PARTIDA RAPIDA E LAMPADA FLUORESCENTE 2X40W, COMPLETA, FORNECIMENTO E INSTALACAO</t>
  </si>
  <si>
    <t>ELETRODUTO DE PVC FLEXIVEL CORRUGADO 25 MM 3/4" FORNECIMENTO E INSTALACAO</t>
  </si>
  <si>
    <t>m3</t>
  </si>
  <si>
    <t>4.0</t>
  </si>
  <si>
    <t>Captor aéreo com bandeira de 35cm</t>
  </si>
  <si>
    <t>Fornecimento e Instalação de conector de medição de 4 parafusos</t>
  </si>
  <si>
    <t>DISTRIBUIDOR INTERNO OPTICO MM COMPLETO 24FO</t>
  </si>
  <si>
    <t>Fornecimento e instalação e barra chata de alumínio de 7/8" x 1/8" - Barra de 3 m</t>
  </si>
  <si>
    <t>Parafuso auto atarrachante 4.2 x 38mm S-6 com Bucha S-6</t>
  </si>
  <si>
    <t>Barra chata de alumínio 7/8" x 1/8" - Barra de 3 m</t>
  </si>
  <si>
    <t>CABO DE COBRE NU 35MM2 - FORNECIMENTO E INSTALACAO</t>
  </si>
  <si>
    <t>Caixa de equipotencialização 200 x 200 x100 cm</t>
  </si>
  <si>
    <t>caixa de inspeção em PVC redonda de 300 mm tampa em aço fundido reforçado com bocal interior quadrado articulado e borda exterior redonda de 300mm</t>
  </si>
  <si>
    <t>Tampa em aço fundido reforçado com bocal interior quadrado articulado e borda exterior redonda de 300mm</t>
  </si>
  <si>
    <t>CONECTOR MECANICO SPLIT-BOLT PARA CABO 70 MM2</t>
  </si>
  <si>
    <t>FORNECIMENTO E INSTALAÇÃO DE CONECTOR MECANICO SPLIT-BOLT PARA CABO 70 MM2</t>
  </si>
  <si>
    <t>Parafuso sextavado 1/4" x  5/8" com porca e arruela lisa de 1/5</t>
  </si>
  <si>
    <t>Conector de medição de 4 parafusos</t>
  </si>
  <si>
    <t>Grampo tipo X estampado em cobre com 4 parafusos</t>
  </si>
  <si>
    <t>Fornecimento e instalação de abraçadeira tip D cunha de 1"</t>
  </si>
  <si>
    <t>Abraçadeira tip D cunha de 1"</t>
  </si>
  <si>
    <t>FORNECIMENTO E INSTALAÇÄO DE PRESILHA DE LATÄO - LARGURA 15MM E FURO Ф5MM</t>
  </si>
  <si>
    <t>PRESILHA DE LATÄO - LARGURA 15MM E FURO Ф5MM</t>
  </si>
  <si>
    <t>Fornecimento e instalação de solda exotérmica cabo/cabo e cabo/haste nº. 115</t>
  </si>
  <si>
    <t>Solda exotérmica cabo/cabo e cabo/haste nº. 115</t>
  </si>
  <si>
    <t>FORNECIMENTO E INSTALAÇÃO DE FITA ROTULADORA 8 METROS, 12 MM LARGURA</t>
  </si>
  <si>
    <t>FITA ROTULADORA 8 METROS, 12 MM LARGURA</t>
  </si>
  <si>
    <t>Pintura no piso com revestimento a base de epoxi, duas demaos, e=1,50 a 2,50 mm (na cor vermelha com faixa amarela, para demarcação de área do extintor de incêndio, conforme detalhe no projeto.)</t>
  </si>
  <si>
    <t xml:space="preserve">LUMINARIA FLUORESCENTE COMPLETA PARA EMERGENCIA DE 15 W  </t>
  </si>
  <si>
    <t>7.0</t>
  </si>
  <si>
    <t>8.0</t>
  </si>
  <si>
    <t>ELETRODUTO DE PVC FLEXIVEL CORRUGADO DN 25MM (1") FORNECIMENTO E INSTALACAO</t>
  </si>
  <si>
    <t>10.0</t>
  </si>
  <si>
    <t>11.0</t>
  </si>
  <si>
    <t>12.0</t>
  </si>
  <si>
    <t>12.3</t>
  </si>
  <si>
    <t>12.4</t>
  </si>
  <si>
    <t>PREVENÇÃO E COMBATE CONTRA INCÊNDIO E PÂNICO</t>
  </si>
  <si>
    <t>SISTEMA DE PROTEÇÃO CONTRA DESCARGAS ATMOSFÉRICAS - SPDA</t>
  </si>
  <si>
    <t>CAIXA DE PASSAGEM 4X2" EM FERRO GALVANIZADO</t>
  </si>
  <si>
    <t>Abraçadeira de nylon para amarração de cabos, comprim= 158 mm</t>
  </si>
  <si>
    <t>FORNECIMENTO E INSTALAÇÃO DE ELETRODUTO 3" TIPO KANAFLEX OU EQUIVALENTE</t>
  </si>
  <si>
    <t>ELETRODUTO 3" TIPO KANAFLEX OU EQUIVALENTE</t>
  </si>
  <si>
    <t>EXTINTOR DE PQS 4KG - FORNECIMENTO E INSTALACAO</t>
  </si>
  <si>
    <t>EXTINTOR INCENDIO AGUA-PRESSURIZADA 10L INCL SUPORTE PAREDE CARGA COMPLETA FORNECIMENTO E COLOCACAO</t>
  </si>
  <si>
    <t>CABO DE COBRE ISOLADO PVC 450/750V 2,5MM2 RESISTENTE A CHAMA - FORNECIMENTO E INSTALACAO</t>
  </si>
  <si>
    <t>BDI:</t>
  </si>
  <si>
    <t>CC0058</t>
  </si>
  <si>
    <t>74106/001</t>
  </si>
  <si>
    <t xml:space="preserve">UN </t>
  </si>
  <si>
    <t>12.2</t>
  </si>
  <si>
    <t>QUADRO COMANDO COM FLANGE 120X80X25CM</t>
  </si>
  <si>
    <t>ACRILICO TRANSPARENTE 2000 X 1000 X 5MM</t>
  </si>
  <si>
    <t>DISPARADOR SOBRECORRENTE 3VT3 400A F/F</t>
  </si>
  <si>
    <t>BARRAMENTO CHATO 1/2X1/4 179A 0,718KG/MT</t>
  </si>
  <si>
    <t>BARRAMENTO CHATO 1,1/4X1/4 449A 1,791KG/MT</t>
  </si>
  <si>
    <t>ISOLADOR EPOXI 25 X 30MM R-1/4</t>
  </si>
  <si>
    <t>PARAFUSO SEXTAVADO ZINCADO ROSCA INTEIRA 1/4" X 1/2"</t>
  </si>
  <si>
    <t>PARAFUSO SEXTAVADO LATAO 3/16X3/4</t>
  </si>
  <si>
    <t>TRILHO PARA DISJUNTOR DIN GALVANIZADO PERFILADO 35X7,5 2M</t>
  </si>
  <si>
    <t>CANALETA VENTILADA DE  PVC 80X50X2000MM</t>
  </si>
  <si>
    <t>TUBO TERMOENCOLHIVEL 1 1/2 PRETO</t>
  </si>
  <si>
    <t>PÇ</t>
  </si>
  <si>
    <t>TUBO TERMOENCOLHIVEL 1/2 PRETO</t>
  </si>
  <si>
    <t>PARAFUSO MAQUINA CABEÇA REDDUZIDA ZINCADO 3/16"X3"</t>
  </si>
  <si>
    <t>DISPOSITIVO PROTETOR DE SURTO  1F 20/40KA CLASSE II PLUG-IN C/S</t>
  </si>
  <si>
    <t>CABO DE COBRE ISOLAMENTO ANTI-CHAMA 450/750V 6MM2, FLEXIVEL, TP FORESPLAST ALCOA OU EQUIV</t>
  </si>
  <si>
    <t xml:space="preserve">SERVENTE </t>
  </si>
  <si>
    <t xml:space="preserve">H     </t>
  </si>
  <si>
    <t>ENGENHEIRO DE OBRA SENIOR</t>
  </si>
  <si>
    <t>FORNECIMENTO E INSTALAÇÃO QUADRO DE DISTRIBUIÇÃO GERAL- 3F + N +T, 220 V, BARRAMENTO 450A, MONTADO EM QUADRO METÁLICO DE EMBUTIR  - QDG 220/127 V</t>
  </si>
  <si>
    <t>FOSSA SEPTICA 2,30X2,30X2,50 CM</t>
  </si>
  <si>
    <t>CB0066</t>
  </si>
  <si>
    <t>ESCAVACAO MANUAL DE VALA EM SOLO DE 1A CATEGORIA (FAIXA DE PROFUNDIDADE: ENTRE 2 E 4 M)</t>
  </si>
  <si>
    <t>CB0095</t>
  </si>
  <si>
    <t>APILOAMENTO DE FUNDO DE VALA COM MACO DE 30 KG</t>
  </si>
  <si>
    <t>m2</t>
  </si>
  <si>
    <t>CB0285</t>
  </si>
  <si>
    <t>LASTRO DE BRITA 3 E 4 APILOADO MANUALMENTE COM MACO DE ATE 30 KG</t>
  </si>
  <si>
    <t>CC0181</t>
  </si>
  <si>
    <t>CONCRETO ESTRUTURAL VIRADO EM OBRA , CONTROLE "A",CONSISTENCIA PARA VIBRACAO, BRITA 1, FCK 13,5 MPA (para base)</t>
  </si>
  <si>
    <t>CC0408</t>
  </si>
  <si>
    <t>FORMA DE MADEIRA PARA ESTRUTURA</t>
  </si>
  <si>
    <t>CC0166</t>
  </si>
  <si>
    <t>ARMADURA DE ACO PARA ESTRUTURAS EM GERAL, CA-50, DIAMETRO 8,0 MM, CORTE E DOBRA NA OBRA</t>
  </si>
  <si>
    <t>CC0184</t>
  </si>
  <si>
    <t>CONCRETO ESTRUTURAL VIRADO EM OBRA , CONTROLE "A",CONSISTENCIA PARA VIBRACAO, BRITA 1, FCK 18 MPA (para tampa)</t>
  </si>
  <si>
    <t>CD0149</t>
  </si>
  <si>
    <t>ALVENARIA DE VEDACAO COM BLOCO CERAMICO FURADO 9 X 19 X 19 CM (FUROS HORIZONTAIS), ESPESSURA DA PAREDE 9 CM, JUNTAS DE 12 MM,ASSENTADO COM ARGAMASSA MISTA DE CIMENTO, ARENOSO E AREIA SEM PENEIRAR TRACO 1:3:7 - TIPO 1 - (COM MAO-DE-OBRA EMPREITADA)</t>
  </si>
  <si>
    <t>CI0254</t>
  </si>
  <si>
    <t>CHAPISCO PARA PAREDE INTERNA OU EXTERNA COM ARGAMASSA DE CIMENTO E AREIA SEM PENEIRAR TRACO 1:3, E=5 MM</t>
  </si>
  <si>
    <t>CI0223</t>
  </si>
  <si>
    <t>REBOCO PARA PAREDE INTERNA OU EXTERNA, COM ARGAMASSA PREFABRICADA, E=5 MM</t>
  </si>
  <si>
    <t>IMPERMEABILIZACAO COM TINTA BETUMINOSA EM FUNDACOES, BALDRAMES E MUROS DE ARRIMO, DUAS DEMAOS</t>
  </si>
  <si>
    <t>CB0092</t>
  </si>
  <si>
    <t>REATERRO MANUAL DE VALA APILOADO</t>
  </si>
  <si>
    <t>CO1114</t>
  </si>
  <si>
    <t>TUBO DE PVC BRANCO, SEM CONEXOES , PONTA BOLSA E VIROLA, Ø 100 MM</t>
  </si>
  <si>
    <t>CO1109</t>
  </si>
  <si>
    <t>TE 90° DE PVC BRANCO , PO NTA BOLSA E VIROLA, Ø 100 X 100 MM</t>
  </si>
  <si>
    <t>CO1047</t>
  </si>
  <si>
    <t>CAP (TAMPAO) PONTA BOLSA E VIROLA DE PVC BRANCO Ø 100 MM</t>
  </si>
  <si>
    <t>CN0149</t>
  </si>
  <si>
    <t>CARGA E TRANSPORTE DE ENTULHO EM CAÇAMBA-BOTAFORA COM CAPACIDADE DE 8,0M³</t>
  </si>
  <si>
    <t>FILTRO ANAERÓBIO 2,70X2,70X1,80 CM</t>
  </si>
  <si>
    <t>CD0150</t>
  </si>
  <si>
    <t>ALVENARIA DE VEDACAO COM BLOCO CERAMICO FURADO 9 X 19 X 19 CM (FUROS HORIZONTAIS), ESPESSURA DA PAREDE 9 CM, JUNTAS DE 12 MM, ASSENTADO COM ARGAMASSA MISTA DE CIMENTO, CAL HIDRATADA E AREIA SEM PENEIRAR TRACO 1:2:8 - TIPO 1 - (COM MAO-DE-OBRA EMPREITADA)</t>
  </si>
  <si>
    <t>CB0052</t>
  </si>
  <si>
    <t xml:space="preserve">DRENO COM BRITA 2 E 3  - FORNECIMENTO E COLOCACAO           </t>
  </si>
  <si>
    <t>CO1071</t>
  </si>
  <si>
    <t>JOELHO 90° DE PVC BRANCO , PONTA BOLSA E VIROLA, Ø 100 MM</t>
  </si>
  <si>
    <t>EXECUÇÃO DE SUMIDOURO D 3,00M E H 3,50M</t>
  </si>
  <si>
    <t>ARMACAO EM TELA SOLDADA Q-138 (ACO CA-60 4,2MM C/10CM)</t>
  </si>
  <si>
    <t>FORMA FEITA EM OBRA PARA LAJES, COM CHAPA COMPENSADA PLASTIFICADA, E=12MM, 3 REAPROVEITAMENTOS</t>
  </si>
  <si>
    <t>CB0225</t>
  </si>
  <si>
    <t>CAIXA DE INSPECAO EM ALVENARIA - TIJOLO COMUM MACICO REVESTIDO INTERNAMENTE COM ARGAMASSA DE CIMENTO E AREIA SEM PENEIRAR (TRACO: 1:3 )</t>
  </si>
  <si>
    <t>PT</t>
  </si>
  <si>
    <t>CAIXA DE PASSAGEM PVC 4X2" - FORNECIMENTO E INSTALACAO</t>
  </si>
  <si>
    <t>Fornecimento e instalação de KIT SUPORTE 19" C/ RODIZIOS GIRATORIOS ( 2 FREIOS) PRETO</t>
  </si>
  <si>
    <t>FORNECIMENTO E INSTALAÇÃO DE PORCA GAIOLA 5 MM (METALICA) + PARAFUSO</t>
  </si>
  <si>
    <t>FORNECIMENTO E INSTALAÇÃO DE PAINEL FRONTAL 19POL X 1U PRETO</t>
  </si>
  <si>
    <t>FORNECIMENTO E INSTALAÇÃO DE GUIA DE CABO 19" X 1U X 50 MM FECHADO HORIZONTAL</t>
  </si>
  <si>
    <t>FORNECIMENTO E INSTALAÇÃO DE REGUA 19POL C/ 8 TOMADAS PADRAO BRASILEIRA PRETA</t>
  </si>
  <si>
    <t>FORNECIMENTO E INSTALAÇÃO DE BANDEJA DUPLA FIXAÇÃO 19POL X 1U X 400MM PRETA</t>
  </si>
  <si>
    <t>FORNECIMENTO E INSTALAÇÃO DE ABRACADEIRA VELCRO PRETA ROLO 4.5M</t>
  </si>
  <si>
    <t>FORNECIMENTO E INSTALAÇÃO DE CONECTOR RJ45 FEMEA CAT.6E 8V SL BEGE</t>
  </si>
  <si>
    <t>FORNECIMENTO E INSTALAÇÃO DE CABO UTP 04 PARES CAT. 6E CM AZUL</t>
  </si>
  <si>
    <t>FORNECIMENTO E INSTALAÇÃO DE CONECTOR RJ 45 MACHO CAT. 6</t>
  </si>
  <si>
    <t>CERTIFICAÇÃO DE PONTO DE CABEAMENTO ESTRUTURADO</t>
  </si>
  <si>
    <t>ELETRICISTA OU OFICIAL ELETRICISTA</t>
  </si>
  <si>
    <t>KIT SUPORTE 19" C/ RODIZIOS GIRATORIOS ( 2 FREIOS) PRETO</t>
  </si>
  <si>
    <t>PORCA GAIOLA 5 MM (METALICA) + PARAFUSO</t>
  </si>
  <si>
    <t>PAINEL FRONTAL 19POL X 1U PRETO</t>
  </si>
  <si>
    <t>GUIA DE CABO 19" X 1U X 50 MM FECHADO HORIZONTAL</t>
  </si>
  <si>
    <t>REGUA 19POL C/ 8 TOMADAS PADRAO BRASILEIRA PRETA</t>
  </si>
  <si>
    <t>BANDEJA DUPLA FIXAÇÃO 19POL X 1U X 400MM PRETA</t>
  </si>
  <si>
    <t>ABRACADEIRA VELCRO PRETA ROLO 4.5M</t>
  </si>
  <si>
    <t>CONECTOR RJ45 FEMEA CAT.6E 8V SL BEGE</t>
  </si>
  <si>
    <t>CABO UTP 04 PARES CAT. 6E CM AZUL</t>
  </si>
  <si>
    <t>PATCH PAINEL 24P CAT. 6</t>
  </si>
  <si>
    <t>CONECTOR RJ 45 MACHO CAT. 6</t>
  </si>
  <si>
    <t>CERTIFICADORA DE PONTO DE CABEAMENTO ESTRUTURADO</t>
  </si>
  <si>
    <t>TAMPA DE PRESSÃO PARA ELETROCALHA PERFURADA 3M</t>
  </si>
  <si>
    <t>FORNECIMENTO E INSTALAÇÃO DE PARAFUSO TIRANTE 3/8 X 3 M</t>
  </si>
  <si>
    <t>PARAFUSO TIRANTE 3/8 X 3 M</t>
  </si>
  <si>
    <t>FORNECIMENTO E INSTALAÇÃO DE  CHUMBADOR PARAFUSO 3/8"X 2 1/2"</t>
  </si>
  <si>
    <t>CHUMBADOR PARAFUSO 3/8"X 2 1/2"</t>
  </si>
  <si>
    <t>FORNECIMENTO E INSTALAÇÃO DE PARAFUSO LENTILHA 1/4"X 1/2 COM TRAVA + ARRUELA LISA 1/4 ZINCADA + PORCA SEXTAVADA DE 1/4"ZINCADA</t>
  </si>
  <si>
    <t>ARRUELA LISA 1/4 ZINCADA</t>
  </si>
  <si>
    <t>PARAFUSO LENTILHA 1/4"X 1/2 COM TRAVA</t>
  </si>
  <si>
    <t>PORCA SEXTAVADA DE 1/4"ZINCADA</t>
  </si>
  <si>
    <t>Fornecimento e Instalação de ANILHA DE INDENTIFICAÇÃO NUMÉRICA ,(0 A 9) - PACOTE COM 100 UNIDADES</t>
  </si>
  <si>
    <t>ANILHA DE INDENTIFICAÇÃO NUMÉRICA ,(0 A 9) - PACOTE COM 100 UNIDADES</t>
  </si>
  <si>
    <t>SISTEMA DE CABEAMENTO ESTRUTURADO + INFRAESTRUTURA</t>
  </si>
  <si>
    <t>ELETRODUTO 2" TIPO KANAFLEX OU EQUIVALENTE</t>
  </si>
  <si>
    <t>FORNECIMENTO E INSTALAÇÃO DE ELETRODUTO 2" TIPO KANAFLEX OU EQUIVALENTE</t>
  </si>
  <si>
    <t>TERMINAL OU CONECTOR DE PRESSAO - PARA CABO 35MM2 - FORNECIMENTO E INSTALACAO</t>
  </si>
  <si>
    <t>FORNECIMENTO E INSTALAÇÃO DE DISPOSITIVO DE PROTEÇÃO CONTRA SURTO DPS -  DE 175V - 40 KA</t>
  </si>
  <si>
    <t>FORNECIMENTO E INSTALAÇÃO DE DISPOSITIVO DE PROTEÇÃO CONTRA SURTO DPS -  DE 175V - 80 KA</t>
  </si>
  <si>
    <t>PARA-RAIOS DE BAIXA TENSAO, TENSAO DE OPERACAO 175V, CORR. MAX. 80KA</t>
  </si>
  <si>
    <t>PARA-RAIOS DE BAIXA TENSAO, TENSAO DE OPERACAO 175V, CORR. MAX. 40KA</t>
  </si>
  <si>
    <t>FORNECIMENTO E INSTALAÇÃO DE ARANDELA C/ BASE EM CHAPA DE ACO PINTADA E GLOBO DE VIDRO LEITOSO - BOCA 10CM DIAM 20CM</t>
  </si>
  <si>
    <t>ARANDELA C/ BASE EM CHAPA DE ACO PINTADA E GLOBO DE VIDRO LEITOSO - BOCA 10CM DIAM 20CM</t>
  </si>
  <si>
    <t>AUXILIAR DE ELETRICISTA</t>
  </si>
  <si>
    <t>73965/010</t>
  </si>
  <si>
    <t>ESCAVACAO MANUAL DE VALA EM MATERIAL DE 1A CATEGORIA ATE 1,5M EXCLUINDO ESGOTAMENTO / ESCORAMENTO</t>
  </si>
  <si>
    <t xml:space="preserve">ARAME GALVANIZADO 12 BWG -     2,60MM - 48,00 G/M            </t>
  </si>
  <si>
    <t>CABO DE COBRE ISOLAMENTO ANTI-CHAMA 0,6/1KV 50MM2 (1 CONDUTOR) TP SINTENAX PIRELLI  OU EQUIV 75 A 500 E PN-16 DN 75 A 400</t>
  </si>
  <si>
    <t xml:space="preserve">Protetores de Buchas 15 kv AT                                </t>
  </si>
  <si>
    <t>Cruzeta polimérica retangular -  5000 mm x 90 mm x 112 mm</t>
  </si>
  <si>
    <t xml:space="preserve">Mão francesa plana de 619 mm </t>
  </si>
  <si>
    <t xml:space="preserve">Parafuso de cabeça quadrada- 125 mm </t>
  </si>
  <si>
    <t xml:space="preserve">Isolador Pilar – 110 Kv                                      </t>
  </si>
  <si>
    <t xml:space="preserve">Pino auto-travante – 140 mm – para isolador pilar </t>
  </si>
  <si>
    <t xml:space="preserve">Olhal para parafuso                                          </t>
  </si>
  <si>
    <t xml:space="preserve">Gancho Olhal                                                 </t>
  </si>
  <si>
    <t xml:space="preserve">Conector derivação para linha viva - 6-250 </t>
  </si>
  <si>
    <t xml:space="preserve">Cartucho para conector cunha – (vermelho) </t>
  </si>
  <si>
    <t xml:space="preserve">Manilha sapatilha                                            </t>
  </si>
  <si>
    <t xml:space="preserve">Cabo de cobre 16mm2 isolação de 15 kV </t>
  </si>
  <si>
    <t xml:space="preserve">M </t>
  </si>
  <si>
    <t xml:space="preserve">Elo-Fusível 6 k                                         </t>
  </si>
  <si>
    <t xml:space="preserve">Cabo de aço galvanizado – 6,4 mm (kg) </t>
  </si>
  <si>
    <t xml:space="preserve">KG </t>
  </si>
  <si>
    <t xml:space="preserve">Caixa para disjuntor termomagnético </t>
  </si>
  <si>
    <t xml:space="preserve">Conector derivação cunha tipo estribo normal- 1/0- 2/0 (azul) </t>
  </si>
  <si>
    <t xml:space="preserve">Conector derivação tipo cunha-AMP-tipo II, ou similar </t>
  </si>
  <si>
    <t xml:space="preserve">Parafuso de cabeça quadrada de 300 mm </t>
  </si>
  <si>
    <t xml:space="preserve">Pára-raios de distribuição- 12 kV – polimérico – 10kA </t>
  </si>
  <si>
    <t>HASTE COPPERWELD 5/8 X 3,0M COM CONECTOR</t>
  </si>
  <si>
    <t>VASO SANITÁRIO SIFONADO COM CAIXA ACOPLADA LOUÇA BRANCA - PADRÃO MÉDIO,INCLUSO ENGATE FLEXÍVEL EM METAL CROMADO, 1/2" X 40CM - FORNECIMENTO E INSTALAÇÃO. AF_12/2013_P</t>
  </si>
  <si>
    <t>CUBA DE EMBUTIR DE AÇO INOXIDÁVEL MÉDIA, INCLUSO VÁLVULA TIPO AMERICANA EM METAL CROMADO E SIFÃO FLEXÍVEL EM PVC - FORNECIMENTO E INSTALAÇÃO . AF_12/2013</t>
  </si>
  <si>
    <t>TORNEIRA CROMADA TUBO MÓVEL, DE MESA, 1/2" OU 3/4", PARA PIA DE COZINHA, PADRÃO ALTO - FORNECIMENTO E INSTALAÇÃO. AF_12/2013</t>
  </si>
  <si>
    <t>HIDROSSANITÁRIO</t>
  </si>
  <si>
    <t>CB0065</t>
  </si>
  <si>
    <t>ESCAVACAO MANUAL DE VALA EM SOLO DE 1A CATEGORIA
(PROFUNDIDADE: ATE 2 M)</t>
  </si>
  <si>
    <t>73994/001</t>
  </si>
  <si>
    <t>10.1</t>
  </si>
  <si>
    <t>10.2</t>
  </si>
  <si>
    <t>10.3</t>
  </si>
  <si>
    <t>10.4</t>
  </si>
  <si>
    <t>9.0</t>
  </si>
  <si>
    <t>9.1</t>
  </si>
  <si>
    <t>9.2</t>
  </si>
  <si>
    <t>10.5</t>
  </si>
  <si>
    <t>FORNECIMENTO E INSTALAÇÃO DE RACK 19 POL X 12U  X 570 MM FECHADO PISO</t>
  </si>
  <si>
    <t xml:space="preserve"> RACK 19 POL X12U  X 570 MM FECHADO PISO</t>
  </si>
  <si>
    <t>SWITCH 24P 10/100 S/GER</t>
  </si>
  <si>
    <t>FORNECIMENTO E INSTALAÇÃO DE PATCH PAINEL 24P CAT. 6</t>
  </si>
  <si>
    <t>FORNECIMENTO E INSTALAÇÃO DE SWITCH 16P 10/100 S/GER</t>
  </si>
  <si>
    <t>EMENDA INTERNA U 100X100 MM</t>
  </si>
  <si>
    <t>RELE FOTOELETRICO P/ COMANDO DE ILUMINACAO EXTERNA 220V/1000W - FORNECIMENTO E INSTALAÇÃO</t>
  </si>
  <si>
    <t>CENTRO INTEGRADO DE PESQUISAS DE HISTÓRIA E FRONTEIRA</t>
  </si>
  <si>
    <t>SINAPI MAI/2014</t>
  </si>
  <si>
    <t>FORNECIMENTO E INSTALAÇÃO DE DISJUNTOR BIPOLAR TERMOMAGNÉTICO (220V/127V) - DIN (20A - 5kA)</t>
  </si>
  <si>
    <t>DISJUNTOR BIPOLAR TERMOMAGNÉTICO (220V/127V) - DIN (20A - 5kA)</t>
  </si>
  <si>
    <t>DISJUNTOR BIPOLAR TERMOMAGNÉTICO (220V/127V) - DIN (50A - 5kA)</t>
  </si>
  <si>
    <t>FORNECIMENTO E INSTALAÇÃO DE DISJUNTOR TRIPOLAR TERMOMAGNÉTICO (220V/127V) - DIN (125A - 25kA)</t>
  </si>
  <si>
    <t>DISJUNTOR TRIPOLAR TERMOMAGNÉTICO (220V/127V) - DIN (125A - 25kA)</t>
  </si>
  <si>
    <t>DISJUNTOR BIPOLAR TERMOMAGNÉTICO (220V/127V) - DIN (16A - 5kA)</t>
  </si>
  <si>
    <t>FORNECIMENTO E INSTALAÇÃO DE DISJUNTOR BIPOLAR TERMOMAGNÉTICO (220V/127V) - DIN (16A - 5kA)</t>
  </si>
  <si>
    <t>FORNECIMENTO E INSTALAÇÃO DE DISJUNTOR BIPOLAR TERMOMAGNÉTICO (220V/127V) - DIN (25A - 5kA)</t>
  </si>
  <si>
    <t>FORNECIMENTO E INSTALAÇÃO DE DISJUNTOR TRIPOLAR TERMOMAGNÉTICO (220V/127V) - DIN (50A - 5kA)</t>
  </si>
  <si>
    <t>FORNECIMENTO E INSTALAÇÃO DE DISJUNTOR TRIPOLAR TERMOMAGNÉTICO (220V/127V) - DIN (63A - 5kA)</t>
  </si>
  <si>
    <t>DISJUNTOR BIPOLAR TERMOMAGNÉTICO (220V/127V) - DIN (63A - 5kA)</t>
  </si>
  <si>
    <t>DISJUNTOR BIPOLAR TERMOMAGNÉTICO (220V/127V) - DIN (25A - 5kA)</t>
  </si>
  <si>
    <t>FORNECIMENTO E INSTALAÇÃO DE DISJUNTOR MONOPOLAR TERMOMAGNÉTICO (220V/127V) - DIN (20A - 5kA)</t>
  </si>
  <si>
    <t>DISJUNTOR MONOPOLAR TERMOMAGNÉTICO (220V/127V) - DIN (20A - 5kA)</t>
  </si>
  <si>
    <t>FORNECIMENTO E INSTALAÇÃO DE ELETROCALHA PERFURADA 200X100X3M CHAPA 16 (INCLUSO TAMPA)</t>
  </si>
  <si>
    <t>ELETROCALHA PERFURADA 200X100X3M CHAPA 16</t>
  </si>
  <si>
    <t>FORNECIMENTO E INSTALAÇÃO DE EMENDA INTERNA U 200X100 MM</t>
  </si>
  <si>
    <t>FORNECIMENTO E INSTALAÇÃO DE  TERMINAL DE FECHAMENTO 200X100 MM</t>
  </si>
  <si>
    <t>TERMINAL DE FECHAMENTO 200X100 MM</t>
  </si>
  <si>
    <t>CURVA HORIZONTAL DE 90°</t>
  </si>
  <si>
    <t>TAMPA PARA CURVA HORIZONTAL 200 MM DE 90°</t>
  </si>
  <si>
    <t>FORNECIMENTO E INSTALAÇÃO DE CURVA HORIZONTAL DE 90° 200 MM (INCLUSO TAMPA)</t>
  </si>
  <si>
    <t>FORNECIMENTO E INSTALAÇÃO DE EMENDA INTERNA U 100X50 MM</t>
  </si>
  <si>
    <t>EMENDA INTERNA U 100X50 MM</t>
  </si>
  <si>
    <t>FORNECIMENTO E INSTALAÇÃO DE ELETROCALHA PERFURADA 100X50X3M CHAPA 16 (INCLUSO TAMPA)</t>
  </si>
  <si>
    <t>ELETROCALHA PERFURADA 100X50X3M CHAPA 16</t>
  </si>
  <si>
    <t>TAMPA DE PRESSÃO PARA ELETROCALHA 100 MM PERFURADA 3M</t>
  </si>
  <si>
    <t>FORNECIMENTO E INSTALAÇÃO DE ABRAÇADEIRA DE NYLON PARA AMARRAÇÃO DE CABOS, COMP = 158 MM</t>
  </si>
  <si>
    <t>M²</t>
  </si>
  <si>
    <t>CÓDIGO SINAPI MAI/2014</t>
  </si>
  <si>
    <t>CABO DE COBRE ISOLAMENTO ANTI-CHAMA 0,6/1KV 16MM2 (1 CONDUTOR) TP SINTENAX PIRELLI OU EQUIV</t>
  </si>
  <si>
    <t>CABO DE COBRE ISOLAMENTO ANTI-CHAMA 0,6/1KV 95MM2 (1 CONDUTOR) TP SINTENAX PIRELLI OU EQUIV</t>
  </si>
  <si>
    <t>DISJUNTOR TERMOMAGNETICO TRIPOLAR 300 A / 600 V, TIPO JXD / ICC - 40 KA</t>
  </si>
  <si>
    <t>TRANSFORMADOR TRIFASICO 13,8KV/220-127V; 112,5KVA IMERSO EM OLEO MINERAL"</t>
  </si>
  <si>
    <t>ELETRODUTO FERRO GALV OU ZINCADO ELETROLIT SEMI-PESADO PAREDE 1,52MM - 3" NBR 13057</t>
  </si>
  <si>
    <t>LUVA FERRO GALV ROSCA 3"</t>
  </si>
  <si>
    <t>CURVA 135G FERRO GALV ELETROLITICO 3" P/ ELETRODUTO</t>
  </si>
  <si>
    <t>FORNECIMENTO E INSTALAÇÃO DE POSTO TRANSFORMADOR DISTRIBUICAO 112,5 KVA TRIFASICO 60HZ CLASSE 15KV IMERSO EM ÓLEO MINERAL</t>
  </si>
  <si>
    <t>1.0</t>
  </si>
  <si>
    <t>ADMINISTRAÇÃO</t>
  </si>
  <si>
    <t>1.1</t>
  </si>
  <si>
    <t>1.2</t>
  </si>
  <si>
    <t>MESTRE</t>
  </si>
  <si>
    <t>Total do Grupo</t>
  </si>
  <si>
    <t>8.4</t>
  </si>
  <si>
    <t>ESQUADRIAS</t>
  </si>
  <si>
    <t>VIDRO TEMPERADO INCOLOR, ESPESSURA 8MM, FORNECIMENTO E INSTALACAO, INCLUSIVE MASSA PARA VEDACAO</t>
  </si>
  <si>
    <t>REVESTIMENTO</t>
  </si>
  <si>
    <t>13.0</t>
  </si>
  <si>
    <t>FORROS E DIVISÓRIAS</t>
  </si>
  <si>
    <t>13.1</t>
  </si>
  <si>
    <t>DIVISORIA EM GRANITO BRANCO POLIDO, ESP = 3CM, ASSENTADO COM ARGAMASSA TRACO 1:4, ARREMATE EM CIMENTO BRANCO, EXCLUSIVE FERRAGENS</t>
  </si>
  <si>
    <t>VIDROS</t>
  </si>
  <si>
    <t>74125/002</t>
  </si>
  <si>
    <t>ESPELHO CRISTAL ESPESSURA 4MM, COM MOLDURA EM ALUMINIO E COMPENSADO 6MM PLASTIFICADO COLADO</t>
  </si>
  <si>
    <t>PINTURA</t>
  </si>
  <si>
    <t>73739/001</t>
  </si>
  <si>
    <t>PINTURA ESMALTE ACETINADO EM MADEIRA, DUAS DEMAOS</t>
  </si>
  <si>
    <t>SERVIÇOS COMPLEMENTARES</t>
  </si>
  <si>
    <t>BANCADA DE GRANITO POLIDO CINZA E=3,0CM, LARGURA 55CM - FORNECIMENTO E INSTALACAO</t>
  </si>
  <si>
    <t>LIMPEZA</t>
  </si>
  <si>
    <t>24.1</t>
  </si>
  <si>
    <t>LIMPEZA FINAL DA OBRA</t>
  </si>
  <si>
    <t>24.2</t>
  </si>
  <si>
    <t>CARGA MECANIZADA E REMOCAO E ENTULHO COM TRANSPORTE ATE 1KM</t>
  </si>
  <si>
    <t>21.29</t>
  </si>
  <si>
    <t>22.49</t>
  </si>
  <si>
    <t>22.50</t>
  </si>
  <si>
    <t>22.51</t>
  </si>
  <si>
    <t>22.57</t>
  </si>
  <si>
    <t>23.1</t>
  </si>
  <si>
    <t>23.2</t>
  </si>
  <si>
    <t>23.3</t>
  </si>
  <si>
    <t>23.4</t>
  </si>
  <si>
    <t>23.5</t>
  </si>
  <si>
    <t>23.6</t>
  </si>
  <si>
    <t>23.7</t>
  </si>
  <si>
    <t>23.8</t>
  </si>
  <si>
    <t>23.9</t>
  </si>
  <si>
    <t>23.10</t>
  </si>
  <si>
    <t>23.11</t>
  </si>
  <si>
    <t>23.12</t>
  </si>
  <si>
    <t>23.13</t>
  </si>
  <si>
    <t>23.14</t>
  </si>
  <si>
    <t>23.15</t>
  </si>
  <si>
    <t>23.16</t>
  </si>
  <si>
    <t>23.17</t>
  </si>
  <si>
    <t>23.18</t>
  </si>
  <si>
    <t>10.6</t>
  </si>
  <si>
    <t>AVENIDA SANTOS DUMONT, S/N - BAIRRO DNER - CIDADE UNIVERSITÁRIA (AEROPORTO ANTIGO)</t>
  </si>
  <si>
    <t>AVENIDA SANTOS DUMONT, S/N - BAIRRO DNER - CIDADE UNIVERSITÁRIA (AEROPORTO ANTIGO) - CACERES/MT</t>
  </si>
  <si>
    <t>PLANILHA ORÇAMENTÁRIA</t>
  </si>
  <si>
    <t>DATA:</t>
  </si>
  <si>
    <t>RESUMO</t>
  </si>
  <si>
    <t>CRONOGRAMA FISICO FINANCEIRO</t>
  </si>
  <si>
    <t>PERÍODO</t>
  </si>
  <si>
    <t>_____________________________</t>
  </si>
  <si>
    <t>COMPOSIÇÃO DE CUSTO UNITÁRIO</t>
  </si>
  <si>
    <t>UNID.</t>
  </si>
  <si>
    <t>QUANT.</t>
  </si>
  <si>
    <t>P. UNIT. (R$)</t>
  </si>
  <si>
    <t>P. TOTAL (R$)</t>
  </si>
  <si>
    <t>Custo Unitário de Serviço</t>
  </si>
  <si>
    <t>M2</t>
  </si>
  <si>
    <t>13.2</t>
  </si>
  <si>
    <t xml:space="preserve">CIMENTO BRANCO                     </t>
  </si>
  <si>
    <t>LT</t>
  </si>
  <si>
    <t>GRANITO (ESPESSURA DE 3,0 CM)  POLIDO</t>
  </si>
  <si>
    <t>CORDOALHA DE COBRE NU, INCLUSIVE ISOLADORES - 35 MM2</t>
  </si>
  <si>
    <t xml:space="preserve"> RACK 19 POL X 12U  X 570 MM FECHADO PISO</t>
  </si>
  <si>
    <t xml:space="preserve"> PAINEL FRONTAL 19POL X 1U PRETO</t>
  </si>
  <si>
    <t>SWITCH 16P 10/100 S/GER</t>
  </si>
  <si>
    <t xml:space="preserve"> CONECTOR RJ 45 MACHO CAT. 6</t>
  </si>
  <si>
    <t xml:space="preserve">CAIXA DE PASSAGEM PVC 4X2" </t>
  </si>
  <si>
    <t>ELETRODUTO DE PVC FLEXIVEL CORRUGADO DN 25MM (1")</t>
  </si>
  <si>
    <t xml:space="preserve"> DISTRIBUIDOR INTERNO OPTICO MM COMPLETO 24FO</t>
  </si>
  <si>
    <t xml:space="preserve"> FITA ROTULADORA 8 METROS, 12 MM LARGURA</t>
  </si>
  <si>
    <t xml:space="preserve"> ELETROCALHA PERFURADA 200X100X3M CHAPA 16 (INCLUSO TAMPA)</t>
  </si>
  <si>
    <t>EMENDA INTERNA U 200X100 MM</t>
  </si>
  <si>
    <t xml:space="preserve"> ELETROCALHA PERFURADA 100X50X3M CHAPA 16 (INCLUSO TAMPA)</t>
  </si>
  <si>
    <t>PARAFUSO LENTILHA 1/4"X 1/2 COM TRAVA + ARRUELA LISA 1/4 ZINCADA + PORCA SEXTAVADA DE 1/4"ZINCADA</t>
  </si>
  <si>
    <t>CURVA HORIZONTAL DE 90° 200 MM (INCLUSO TAMPA)</t>
  </si>
  <si>
    <t>EXTINTOR DE INCENDIO C/ CARGA DE PO QUIMICO SECO PQS 6KG</t>
  </si>
  <si>
    <t xml:space="preserve">Placa de Sinalização Indicativa do tipo de Extintor Manual de Pó Quimico </t>
  </si>
  <si>
    <t xml:space="preserve"> Placa de Sinalização Indicativa do tipo de Extintor Manual de Água - 20 x 30 cm</t>
  </si>
  <si>
    <t>TINTA EPOXI</t>
  </si>
  <si>
    <t xml:space="preserve"> Placa de Saida Fotoluminescente 20 x 30 cm  +  Placa seta reta fotoluminescente 5x 25 cm</t>
  </si>
  <si>
    <t>Acionador Manual para alarme de emergência Tipo Quebra vidro</t>
  </si>
  <si>
    <t xml:space="preserve"> Sirene Eletronica Bitonal 12 V RM</t>
  </si>
  <si>
    <t xml:space="preserve"> Placa de indicação de Acionadores de Alarme de emergência  - 15 x 20 cm</t>
  </si>
  <si>
    <t>% EXECUTADO</t>
  </si>
  <si>
    <t>% A EXECUTAR</t>
  </si>
  <si>
    <t>VALOR A EXECUTAR</t>
  </si>
  <si>
    <t>8.6</t>
  </si>
  <si>
    <t>8.7</t>
  </si>
  <si>
    <t>10.7</t>
  </si>
  <si>
    <t>10.8</t>
  </si>
  <si>
    <t>10.9</t>
  </si>
  <si>
    <t>10.10</t>
  </si>
  <si>
    <t>10.11</t>
  </si>
  <si>
    <t>10.12</t>
  </si>
  <si>
    <t>10.13</t>
  </si>
  <si>
    <t>10.14</t>
  </si>
  <si>
    <t>10.15</t>
  </si>
  <si>
    <t>10.16</t>
  </si>
  <si>
    <t>10.17</t>
  </si>
  <si>
    <t>10.18</t>
  </si>
  <si>
    <t>10.19</t>
  </si>
  <si>
    <t>10.20</t>
  </si>
  <si>
    <t>10.21</t>
  </si>
  <si>
    <t>10.22</t>
  </si>
  <si>
    <t>10.23</t>
  </si>
  <si>
    <t>10.24</t>
  </si>
  <si>
    <t>10.25</t>
  </si>
  <si>
    <t>10.26</t>
  </si>
  <si>
    <t>10.27</t>
  </si>
  <si>
    <t>10.28</t>
  </si>
  <si>
    <t>12.5</t>
  </si>
  <si>
    <t>12.6</t>
  </si>
  <si>
    <t>12.7</t>
  </si>
  <si>
    <t>12.8</t>
  </si>
  <si>
    <t>12.9</t>
  </si>
  <si>
    <t>12.10</t>
  </si>
  <si>
    <t>12.11</t>
  </si>
  <si>
    <t>12.12</t>
  </si>
  <si>
    <t>12.13</t>
  </si>
  <si>
    <t>12.14</t>
  </si>
  <si>
    <t>12.15</t>
  </si>
  <si>
    <t>12.16</t>
  </si>
  <si>
    <t>12.17</t>
  </si>
  <si>
    <t>12.18</t>
  </si>
  <si>
    <t>ENGENHEIRO CIVIL DE OBRA PLENO COM ENCARGOS COMPLEMENTARES</t>
  </si>
  <si>
    <t>PORTA EM ALUMÍNIO DE ABRIR TIPO VENEZIANA COM GUARNIÇÃO, FIXAÇÃO COM PARAFUSOS - FORNECIMENTO E INSTALAÇÃO. AF_08/2015 DIMENSÕES 60X160</t>
  </si>
  <si>
    <t>REVESTIMENTO CERÂMICO PARA PAREDES INTERNAS COM PLACAS TIPO ESMALTADA PADRÃO POPULAR DE DIMENSÕES 20X20 CM, ARGAMASSA TIPO AC III, APLICADAS EM AMBIENTES DE ÁREA MAIOR QUE 5 M2 NA ALTURA INTEIRA DAS PAREDES. AF_06/2014</t>
  </si>
  <si>
    <t>FORRO DE PVC, LISO, PARA AMBIENTES COMERCIAIS, INCLUSIVE ESTRUTURA DE FIXAÇÃO. AF_05/2017_P</t>
  </si>
  <si>
    <t>APLICAÇÃO E LIXAMENTO DE MASSA LÁTEX EM PAREDES, DUAS DEMÃOS. AF_06/2014</t>
  </si>
  <si>
    <t>APLICAÇÃO MANUAL DE TINTA LÁTEX ACRÍLICA EM PAREDE EXTERNAS DE CASAS, DUAS DEMÃOS. AF_11/2016</t>
  </si>
  <si>
    <t>VASO SANITARIO SIFONADO CONVENCIONAL PARA PCD SEM FURO FRONTAL COM  LOUÇA BRANCA SEM ASSENTO -  FORNECIMENTO E INSTALAÇÃO. AF_10/2016</t>
  </si>
  <si>
    <t>*********</t>
  </si>
  <si>
    <t xml:space="preserve">AJUDANTE DE PEDREIRO COM ENCARGOS COMPLEMENTARES             </t>
  </si>
  <si>
    <t>MARMORISTA/GRANITEIRO COM ENCARGOS COMPLEMENTARES</t>
  </si>
  <si>
    <t>ELETRICISTA COM ENCARGOS COMPLEMENTARES</t>
  </si>
  <si>
    <t>AUXILIAR DE ELETRICISTA COM ENCARGOS COMPLEMENTARES</t>
  </si>
  <si>
    <t>TERMINAL A COMPRESSAO EM COBRE ESTANHADO PARA CABO 2,5 MM2, 1 FURO E 1 COMPRESSAO, PARA PARAFUSO DE FIXACAO M5</t>
  </si>
  <si>
    <t>ELETRODUTO/DUTO PEAD FLEXIVEL PAREDE SIMPLES, CORRUGACAO HELICOIDAL, COR PRETA, SEM ROSCA, DE 2",  PARA CABEAMENTO SUBTERRANEO (NBR 15715)</t>
  </si>
  <si>
    <t>LUMINARIA DE SOBREPOR EM CHAPA DE ACO PARA 2 LAMPADAS FLUORESCENTES DE *36* W, ALETADA, COMPLETA (LAMPADAS E REATOR INCLUSOS)</t>
  </si>
  <si>
    <t>RELE FOTOELETRICO INTERNO E EXTERNO BIVOLT 1000 W, DE CONECTOR, SEM BASE</t>
  </si>
  <si>
    <t>73965/9</t>
  </si>
  <si>
    <t>HASTE DE ATERRAMENTO EM ACO COM 3,00 M DE COMPRIMENTO E DN = 5/8", REVESTIDA COM BAIXA CAMADA DE COBRE, COM CONECTOR TIPO GRAMPO</t>
  </si>
  <si>
    <t xml:space="preserve">PINTOR COM ENCARGOS COMPLEMENTARES   </t>
  </si>
  <si>
    <t>SERVENTE COM ENCARGOS COMPLEMENTARES</t>
  </si>
  <si>
    <t>LUMINARIA DE EMERGENCIA 30 LEDS, POTENCIA 2 W, BATERIA DE LITIO, AUTONOMIA DE 6 HORAS</t>
  </si>
  <si>
    <t>CABO DE COBRE, FLEXIVEL, CLASSE 4 OU 5, ISOLACAO EM PVC/A, ANTICHAMA BWF-B, COBERTURA PVC-ST1, ANTICHAMA BWF-B, 1 CONDUTOR, 0,6/1 KV, SECAO NOMINAL 2,5 MM2</t>
  </si>
  <si>
    <t>CABO DE COBRE, FLEXIVEL, CLASSE 4 OU 5, ISOLACAO EM PVC/A, ANTICHAMA BWF-B, COBERTURA PVC-ST1, ANTICHAMA BWF-B, 1 CONDUTOR, 0,6/1 KV, SECAO NOMINAL 4 MM2</t>
  </si>
  <si>
    <t>CAIXA DE LUZ "4 X 2" EM ACO ESMALTADA</t>
  </si>
  <si>
    <t>GOVERNO DO ESTADO DE MATO GROSSO</t>
  </si>
  <si>
    <t>SECRETARIA DE ESTADO DE CIÊNICA, TECNOLOGIA E INOVAÇÃO</t>
  </si>
  <si>
    <t>UNIVERSIDADE DO ESTADO DE MATO GROSSO</t>
  </si>
  <si>
    <t>Composição da Parcela de BDI (Bonificações e Despesas Indiretas ) - Obras e Serviços</t>
  </si>
  <si>
    <t>Referência</t>
  </si>
  <si>
    <t>Outubro de 2019</t>
  </si>
  <si>
    <t>Itens Relativos à Administração da Obra</t>
  </si>
  <si>
    <t>AC - Administração Central</t>
  </si>
  <si>
    <t>DF - Custos Finaneiros</t>
  </si>
  <si>
    <t>R - Riscos</t>
  </si>
  <si>
    <t>S - Seguros</t>
  </si>
  <si>
    <t>G - Garantia</t>
  </si>
  <si>
    <t>Sub-total</t>
  </si>
  <si>
    <t>Lucro</t>
  </si>
  <si>
    <t>L - Lucro / Remuneração</t>
  </si>
  <si>
    <t>I - Taxas e Impostos</t>
  </si>
  <si>
    <t>PIS</t>
  </si>
  <si>
    <t>COFINS</t>
  </si>
  <si>
    <t>ISSQN</t>
  </si>
  <si>
    <t>Contribuição Previdênciária - Lei nº 12.546/2011</t>
  </si>
  <si>
    <t>BDI</t>
  </si>
  <si>
    <t>Cáceres</t>
  </si>
  <si>
    <t>SINAPI DEZ/2020</t>
  </si>
  <si>
    <t>MICTÓRIO SIFONADO LOUÇA BRANCA  PADRÃO MÉDIO  FORNECIMENTO E INSTALAÇÃO. AF_01/2020</t>
  </si>
  <si>
    <t>INCC</t>
  </si>
  <si>
    <t>DISJUNTOR TIPO NEMA, BIPOLAR 10  ATE  50 A, TENSAO MAXIMA 415 V</t>
  </si>
  <si>
    <t>EXTINTOR DE INCÊNDIO PORTÁTIL COM CARGA DE PQS DE 4 KG, CLASSE BC - FORNECIMENTO E INSTALAÇÃO. AF_10/2020_P</t>
  </si>
  <si>
    <t>EXTINTOR DE INCÊNDIO PORTÁTIL COM CARGA DE ÁGUA PRESSURIZADA DE 10 L, CLASSE A - FORNECIMENTO E INSTALAÇÃO. AF_10/2020_P</t>
  </si>
  <si>
    <t>ELETRODUTO FLEXÍVEL CORRUGADO REFORÇADO, PVC, DN 25 MM (3/4"), PARA CIRCUITOS TERMINAIS, INSTALADO EM PAREDE - FORNECIMENTO E INSTALAÇÃO. AF_12/2015</t>
  </si>
  <si>
    <t>KIT DE PORTA DE MADEIRA PARA PINTURA, SEMI-OCA (LEVE OU MÉDIA), PADRÃO POPULAR, 90X210CM, ESPESSURA DE 3,5CM, ITENS INCLUSOS: DOBRADIÇAS, MONTAGEM E INSTALAÇÃO DO BATENTE, FECHADURA COM EXECUÇÃO DO FURO - FORNECIMENTO E INSTALAÇÃO. AF_12/2019</t>
  </si>
  <si>
    <t>KIT DE PORTA DE MADEIRA PARA PINTURA, SEMI-OCA (LEVE OU MÉDIA), PADRÃO POPULAR, 80X210CM, ESPESSURA DE 3,5CM, ITENS INCLUSOS: DOBRADIÇAS, MONTAGEM E INSTALAÇÃO DO BATENTE, FECHADURA COM EXECUÇÃO DO FURO - FORNECIMENTO E INSTALAÇÃO. AF_12/2019</t>
  </si>
  <si>
    <t>CUBA DE EMBUTIR OVAL EM LOUÇA BRANCA, 35 X 50CM OU EQUIVALENTE, INCLUSO VÁLVULA EM METAL CROMADO E SIFÃO FLEXÍVEL EM PVC - FORNECIMENTO E INSTALAÇÃO. AF_01/2020 E TORNEIRA CROMADA DE MESA, 1/2 OU 3/4, PARA LAVATÓRIO, PADRÃO MÉDIO - FORNECIMENTO E INSTALAÇÃO. AF_01/2020</t>
  </si>
  <si>
    <t>CAMINHÃO BASCULANTE 6 M3, PESO BRUTO TOTAL 16.000 KG, CARGA ÚTIL MÁXIMA 13.071 KG, DISTÂNCIA ENTRE EIXOS 4,80 M, POTÊNCIA 230 CV INCLUSIVE CAÇAMBA METÁLICA - CHP DIURNO. AF_06/2014</t>
  </si>
  <si>
    <t>CAMINHÃO BASCULANTE 6 M3, PESO BRUTO TOTAL 16.000 KG, CARGA ÚTIL MÁXIMA 13.071 KG, DISTÂNCIA ENTRE EIXOS 4,80 M, POTÊNCIA 230 CV INCLUSIVE CAÇAMBA METÁLICA - CHI DIURNO. AF_06/2014</t>
  </si>
  <si>
    <t>TRANSFORMADOR TRIFASICO DE DISTRIBUICAO, POTENCIA DE 112,5 KVA, TENSAO NOMINAL DE 15 KV, TENSAO SECUNDARIA DE 220/127V, EM OLEO ISOLANTE TIPO MINERAL</t>
  </si>
  <si>
    <t>Poste de Concreto Duplo T 12/1000 daN</t>
  </si>
  <si>
    <t>Chave-Fusível - Tipo C - 15kV - 10kA</t>
  </si>
  <si>
    <t>UM</t>
  </si>
  <si>
    <t>DUZENTOS E TRINTA E DOIS MIL, QUINHETOS E NOVENTA E OITO REAIS E SETE CENTAVOS</t>
  </si>
</sst>
</file>

<file path=xl/styles.xml><?xml version="1.0" encoding="utf-8"?>
<styleSheet xmlns="http://schemas.openxmlformats.org/spreadsheetml/2006/main">
  <numFmts count="6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.0000"/>
    <numFmt numFmtId="179" formatCode="dd/mm/yy"/>
    <numFmt numFmtId="180" formatCode="#,##0.00000"/>
    <numFmt numFmtId="181" formatCode="000"/>
    <numFmt numFmtId="182" formatCode="#,##0.0000"/>
    <numFmt numFmtId="183" formatCode="0.0"/>
    <numFmt numFmtId="184" formatCode="0.000"/>
    <numFmt numFmtId="185" formatCode="#,##0.0"/>
    <numFmt numFmtId="186" formatCode="&quot;Sim&quot;;&quot;Sim&quot;;&quot;Não&quot;"/>
    <numFmt numFmtId="187" formatCode="&quot;Verdadeiro&quot;;&quot;Verdadeiro&quot;;&quot;Falso&quot;"/>
    <numFmt numFmtId="188" formatCode="&quot;Ativado&quot;;&quot;Ativado&quot;;&quot;Desativado&quot;"/>
    <numFmt numFmtId="189" formatCode="[$€-2]\ #,##0.00_);[Red]\([$€-2]\ #,##0.00\)"/>
    <numFmt numFmtId="190" formatCode="_(* #,##0.0_);_(* \(#,##0.0\);_(* &quot;-&quot;??_);_(@_)"/>
    <numFmt numFmtId="191" formatCode="_(* #,##0_);_(* \(#,##0\);_(* &quot;-&quot;??_);_(@_)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_(&quot;R$ &quot;* #,##0.000_);_(&quot;R$ &quot;* \(#,##0.000\);_(&quot;R$ &quot;* &quot;-&quot;??_);_(@_)"/>
    <numFmt numFmtId="196" formatCode="_(&quot;R$ &quot;* #,##0.0000_);_(&quot;R$ &quot;* \(#,##0.0000\);_(&quot;R$ &quot;* &quot;-&quot;??_);_(@_)"/>
    <numFmt numFmtId="197" formatCode="_(&quot;R$ &quot;* #,##0.00000_);_(&quot;R$ &quot;* \(#,##0.00000\);_(&quot;R$ &quot;* &quot;-&quot;??_);_(@_)"/>
    <numFmt numFmtId="198" formatCode="0.00000"/>
    <numFmt numFmtId="199" formatCode="yyyy&quot;年&quot;m&quot;月&quot;d&quot;日&quot;;@"/>
    <numFmt numFmtId="200" formatCode="_([$R$ -416]* #,##0.00_);_([$R$ -416]* \(#,##0.00\);_([$R$ -416]* &quot;-&quot;??_);_(@_)"/>
    <numFmt numFmtId="201" formatCode="[$-416]dddd\,\ d&quot; de &quot;mmmm&quot; de &quot;yyyy"/>
    <numFmt numFmtId="202" formatCode="_-[$R$-416]\ * #,##0.00_-;\-[$R$-416]\ * #,##0.00_-;_-[$R$-416]\ * &quot;-&quot;??_-;_-@_-"/>
    <numFmt numFmtId="203" formatCode="_-[$R$-416]\ * #,##0.000_-;\-[$R$-416]\ * #,##0.000_-;_-[$R$-416]\ * &quot;-&quot;??_-;_-@_-"/>
    <numFmt numFmtId="204" formatCode="_-[$R$-416]\ * #,##0.0_-;\-[$R$-416]\ * #,##0.0_-;_-[$R$-416]\ * &quot;-&quot;??_-;_-@_-"/>
    <numFmt numFmtId="205" formatCode="_-[$R$-416]\ * #,##0_-;\-[$R$-416]\ * #,##0_-;_-[$R$-416]\ * &quot;-&quot;??_-;_-@_-"/>
    <numFmt numFmtId="206" formatCode="&quot;R$&quot;\ #,##0.00"/>
    <numFmt numFmtId="207" formatCode="#,##0.00;[Red]#,##0.00"/>
    <numFmt numFmtId="208" formatCode="\ @"/>
    <numFmt numFmtId="209" formatCode="#,##0.000"/>
    <numFmt numFmtId="210" formatCode="#,##0.00_ ;\-#,##0.00\ "/>
    <numFmt numFmtId="211" formatCode="#,##0.00\ ;\-#,##0.00\ ;&quot; -&quot;#\ ;@\ "/>
    <numFmt numFmtId="212" formatCode="_(* #,##0.00_);_(* \(#,##0.00\);_(* \-??_);_(@_)"/>
    <numFmt numFmtId="213" formatCode="#,##0.000000"/>
    <numFmt numFmtId="214" formatCode="#,#00"/>
    <numFmt numFmtId="215" formatCode="0.0%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0"/>
      <name val="MS Sans Serif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rgb="FFFF0000"/>
      <name val="Arial"/>
      <family val="2"/>
    </font>
    <font>
      <sz val="11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1" fillId="0" borderId="0">
      <alignment/>
      <protection/>
    </xf>
    <xf numFmtId="0" fontId="5" fillId="0" borderId="0">
      <alignment/>
      <protection/>
    </xf>
    <xf numFmtId="212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 applyFont="0" applyFill="0" applyBorder="0" applyAlignment="0" applyProtection="0"/>
  </cellStyleXfs>
  <cellXfs count="53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10" fontId="0" fillId="0" borderId="0" xfId="0" applyNumberForma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0" fontId="4" fillId="0" borderId="0" xfId="84" applyNumberFormat="1" applyFont="1" applyBorder="1" applyAlignment="1">
      <alignment horizontal="right" vertical="center" wrapText="1"/>
    </xf>
    <xf numFmtId="14" fontId="4" fillId="0" borderId="0" xfId="84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10" fontId="6" fillId="0" borderId="0" xfId="84" applyNumberFormat="1" applyFont="1" applyBorder="1" applyAlignment="1">
      <alignment horizontal="center" vertical="center" wrapText="1"/>
    </xf>
    <xf numFmtId="4" fontId="6" fillId="0" borderId="0" xfId="84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14" fontId="6" fillId="0" borderId="0" xfId="84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right" vertical="center"/>
    </xf>
    <xf numFmtId="10" fontId="3" fillId="0" borderId="0" xfId="84" applyNumberFormat="1" applyFont="1" applyBorder="1" applyAlignment="1">
      <alignment vertical="center" wrapText="1"/>
    </xf>
    <xf numFmtId="179" fontId="3" fillId="0" borderId="0" xfId="84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vertical="center" wrapText="1"/>
    </xf>
    <xf numFmtId="4" fontId="4" fillId="0" borderId="0" xfId="84" applyNumberFormat="1" applyFont="1" applyBorder="1" applyAlignment="1">
      <alignment vertical="center" wrapText="1"/>
    </xf>
    <xf numFmtId="4" fontId="4" fillId="0" borderId="10" xfId="84" applyNumberFormat="1" applyFont="1" applyBorder="1" applyAlignment="1">
      <alignment vertical="center" wrapText="1"/>
    </xf>
    <xf numFmtId="4" fontId="6" fillId="33" borderId="11" xfId="84" applyNumberFormat="1" applyFont="1" applyFill="1" applyBorder="1" applyAlignment="1">
      <alignment horizontal="center" vertical="center" wrapText="1"/>
    </xf>
    <xf numFmtId="181" fontId="6" fillId="0" borderId="11" xfId="0" applyNumberFormat="1" applyFont="1" applyBorder="1" applyAlignment="1">
      <alignment horizontal="center" vertical="center"/>
    </xf>
    <xf numFmtId="176" fontId="6" fillId="0" borderId="11" xfId="50" applyFont="1" applyBorder="1" applyAlignment="1">
      <alignment horizontal="right" vertical="center"/>
    </xf>
    <xf numFmtId="176" fontId="6" fillId="33" borderId="11" xfId="50" applyFont="1" applyFill="1" applyBorder="1" applyAlignment="1">
      <alignment horizontal="right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10" fontId="6" fillId="0" borderId="0" xfId="0" applyNumberFormat="1" applyFont="1" applyBorder="1" applyAlignment="1">
      <alignment horizontal="center" vertical="center"/>
    </xf>
    <xf numFmtId="176" fontId="32" fillId="0" borderId="11" xfId="50" applyFont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justify" vertical="justify" wrapText="1"/>
    </xf>
    <xf numFmtId="0" fontId="33" fillId="0" borderId="11" xfId="0" applyFont="1" applyFill="1" applyBorder="1" applyAlignment="1">
      <alignment vertical="center" wrapText="1"/>
    </xf>
    <xf numFmtId="0" fontId="33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 wrapText="1"/>
    </xf>
    <xf numFmtId="0" fontId="33" fillId="0" borderId="0" xfId="0" applyFont="1" applyAlignment="1">
      <alignment/>
    </xf>
    <xf numFmtId="0" fontId="32" fillId="0" borderId="0" xfId="0" applyFont="1" applyAlignment="1">
      <alignment horizontal="left" vertical="center"/>
    </xf>
    <xf numFmtId="0" fontId="57" fillId="0" borderId="0" xfId="0" applyFont="1" applyAlignment="1">
      <alignment horizontal="left" vertical="center" wrapText="1"/>
    </xf>
    <xf numFmtId="176" fontId="33" fillId="0" borderId="0" xfId="50" applyFont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176" fontId="57" fillId="0" borderId="11" xfId="50" applyFont="1" applyBorder="1" applyAlignment="1">
      <alignment horizontal="center" vertical="center" wrapText="1"/>
    </xf>
    <xf numFmtId="177" fontId="57" fillId="0" borderId="11" xfId="84" applyFont="1" applyBorder="1" applyAlignment="1">
      <alignment horizontal="center" vertical="center" wrapText="1"/>
    </xf>
    <xf numFmtId="176" fontId="39" fillId="0" borderId="11" xfId="50" applyFont="1" applyBorder="1" applyAlignment="1">
      <alignment horizontal="center" vertical="center" wrapText="1"/>
    </xf>
    <xf numFmtId="176" fontId="39" fillId="0" borderId="11" xfId="50" applyFont="1" applyBorder="1" applyAlignment="1">
      <alignment vertical="center" wrapText="1"/>
    </xf>
    <xf numFmtId="0" fontId="39" fillId="0" borderId="0" xfId="0" applyFont="1" applyFill="1" applyAlignment="1">
      <alignment horizontal="center" vertical="center" wrapText="1"/>
    </xf>
    <xf numFmtId="0" fontId="39" fillId="0" borderId="0" xfId="0" applyFont="1" applyFill="1" applyBorder="1" applyAlignment="1">
      <alignment vertical="center" wrapText="1"/>
    </xf>
    <xf numFmtId="0" fontId="39" fillId="0" borderId="0" xfId="0" applyFont="1" applyBorder="1" applyAlignment="1">
      <alignment horizontal="center" vertical="center" wrapText="1"/>
    </xf>
    <xf numFmtId="177" fontId="39" fillId="0" borderId="0" xfId="84" applyFont="1" applyBorder="1" applyAlignment="1">
      <alignment horizontal="center" vertical="center" wrapText="1"/>
    </xf>
    <xf numFmtId="176" fontId="32" fillId="0" borderId="12" xfId="50" applyFont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vertical="center" wrapText="1"/>
    </xf>
    <xf numFmtId="0" fontId="39" fillId="0" borderId="11" xfId="0" applyFont="1" applyFill="1" applyBorder="1" applyAlignment="1">
      <alignment vertical="center" wrapText="1"/>
    </xf>
    <xf numFmtId="0" fontId="39" fillId="0" borderId="11" xfId="0" applyFont="1" applyBorder="1" applyAlignment="1">
      <alignment horizontal="center" vertical="center" wrapText="1"/>
    </xf>
    <xf numFmtId="177" fontId="39" fillId="0" borderId="11" xfId="84" applyFont="1" applyBorder="1" applyAlignment="1">
      <alignment horizontal="center" vertical="center" wrapText="1"/>
    </xf>
    <xf numFmtId="176" fontId="39" fillId="0" borderId="11" xfId="50" applyFont="1" applyFill="1" applyBorder="1" applyAlignment="1">
      <alignment vertical="center" wrapText="1"/>
    </xf>
    <xf numFmtId="177" fontId="39" fillId="0" borderId="11" xfId="71" applyFont="1" applyBorder="1" applyAlignment="1">
      <alignment vertical="center" wrapText="1"/>
    </xf>
    <xf numFmtId="176" fontId="32" fillId="0" borderId="0" xfId="50" applyFont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justify" vertical="justify" wrapText="1"/>
    </xf>
    <xf numFmtId="0" fontId="39" fillId="0" borderId="0" xfId="0" applyFont="1" applyFill="1" applyBorder="1" applyAlignment="1">
      <alignment horizontal="justify" vertical="justify" wrapText="1"/>
    </xf>
    <xf numFmtId="0" fontId="57" fillId="0" borderId="11" xfId="0" applyFont="1" applyFill="1" applyBorder="1" applyAlignment="1">
      <alignment horizontal="center" vertical="justify" wrapText="1"/>
    </xf>
    <xf numFmtId="0" fontId="57" fillId="33" borderId="11" xfId="0" applyFont="1" applyFill="1" applyBorder="1" applyAlignment="1">
      <alignment horizontal="justify" vertical="justify" wrapText="1"/>
    </xf>
    <xf numFmtId="0" fontId="33" fillId="0" borderId="11" xfId="0" applyFont="1" applyFill="1" applyBorder="1" applyAlignment="1">
      <alignment horizontal="justify" vertical="justify"/>
    </xf>
    <xf numFmtId="0" fontId="33" fillId="0" borderId="11" xfId="0" applyFont="1" applyFill="1" applyBorder="1" applyAlignment="1">
      <alignment vertical="center"/>
    </xf>
    <xf numFmtId="0" fontId="33" fillId="0" borderId="0" xfId="0" applyFont="1" applyFill="1" applyAlignment="1">
      <alignment horizontal="center"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left" wrapText="1"/>
    </xf>
    <xf numFmtId="0" fontId="33" fillId="0" borderId="0" xfId="0" applyFont="1" applyFill="1" applyBorder="1" applyAlignment="1">
      <alignment horizontal="right" wrapText="1"/>
    </xf>
    <xf numFmtId="0" fontId="33" fillId="0" borderId="0" xfId="0" applyFont="1" applyFill="1" applyBorder="1" applyAlignment="1">
      <alignment/>
    </xf>
    <xf numFmtId="0" fontId="33" fillId="0" borderId="0" xfId="0" applyFont="1" applyFill="1" applyBorder="1" applyAlignment="1">
      <alignment wrapText="1"/>
    </xf>
    <xf numFmtId="0" fontId="33" fillId="0" borderId="0" xfId="0" applyFont="1" applyFill="1" applyAlignment="1">
      <alignment/>
    </xf>
    <xf numFmtId="177" fontId="33" fillId="0" borderId="11" xfId="0" applyNumberFormat="1" applyFont="1" applyFill="1" applyBorder="1" applyAlignment="1">
      <alignment/>
    </xf>
    <xf numFmtId="177" fontId="39" fillId="0" borderId="11" xfId="84" applyNumberFormat="1" applyFont="1" applyBorder="1" applyAlignment="1">
      <alignment horizontal="center" vertical="center" wrapText="1"/>
    </xf>
    <xf numFmtId="177" fontId="39" fillId="0" borderId="11" xfId="71" applyNumberFormat="1" applyFont="1" applyBorder="1" applyAlignment="1">
      <alignment vertical="center" wrapText="1"/>
    </xf>
    <xf numFmtId="176" fontId="33" fillId="0" borderId="0" xfId="50" applyFont="1" applyAlignment="1">
      <alignment vertical="center" wrapText="1"/>
    </xf>
    <xf numFmtId="0" fontId="33" fillId="0" borderId="0" xfId="0" applyFont="1" applyAlignment="1">
      <alignment horizontal="center"/>
    </xf>
    <xf numFmtId="176" fontId="33" fillId="0" borderId="0" xfId="50" applyFont="1" applyAlignment="1">
      <alignment/>
    </xf>
    <xf numFmtId="0" fontId="33" fillId="34" borderId="0" xfId="0" applyFont="1" applyFill="1" applyAlignment="1">
      <alignment/>
    </xf>
    <xf numFmtId="0" fontId="32" fillId="0" borderId="0" xfId="0" applyFont="1" applyAlignment="1">
      <alignment horizontal="right" vertical="center"/>
    </xf>
    <xf numFmtId="14" fontId="33" fillId="0" borderId="0" xfId="0" applyNumberFormat="1" applyFont="1" applyAlignment="1">
      <alignment horizontal="left" vertical="center"/>
    </xf>
    <xf numFmtId="177" fontId="33" fillId="0" borderId="11" xfId="0" applyNumberFormat="1" applyFont="1" applyFill="1" applyBorder="1" applyAlignment="1">
      <alignment horizontal="left" vertical="justify" wrapText="1"/>
    </xf>
    <xf numFmtId="0" fontId="33" fillId="0" borderId="0" xfId="0" applyFont="1" applyAlignment="1">
      <alignment horizontal="center" vertical="center"/>
    </xf>
    <xf numFmtId="176" fontId="57" fillId="0" borderId="11" xfId="52" applyFont="1" applyBorder="1" applyAlignment="1">
      <alignment horizontal="center" vertical="center" wrapText="1"/>
    </xf>
    <xf numFmtId="176" fontId="39" fillId="0" borderId="11" xfId="52" applyFont="1" applyBorder="1" applyAlignment="1">
      <alignment horizontal="center" vertical="center" wrapText="1"/>
    </xf>
    <xf numFmtId="176" fontId="39" fillId="0" borderId="11" xfId="52" applyFont="1" applyBorder="1" applyAlignment="1">
      <alignment vertical="center" wrapText="1"/>
    </xf>
    <xf numFmtId="176" fontId="32" fillId="0" borderId="12" xfId="52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66" applyFont="1" applyBorder="1" applyAlignment="1">
      <alignment vertical="center" wrapText="1"/>
      <protection/>
    </xf>
    <xf numFmtId="0" fontId="33" fillId="0" borderId="0" xfId="65" applyFont="1" applyFill="1" applyBorder="1" applyAlignment="1">
      <alignment horizontal="center"/>
      <protection/>
    </xf>
    <xf numFmtId="4" fontId="33" fillId="0" borderId="0" xfId="65" applyNumberFormat="1" applyFont="1" applyFill="1" applyBorder="1">
      <alignment/>
      <protection/>
    </xf>
    <xf numFmtId="0" fontId="8" fillId="35" borderId="13" xfId="0" applyFont="1" applyFill="1" applyBorder="1" applyAlignment="1">
      <alignment horizontal="justify" vertical="justify" wrapText="1"/>
    </xf>
    <xf numFmtId="0" fontId="32" fillId="33" borderId="11" xfId="44" applyFont="1" applyFill="1" applyBorder="1" applyAlignment="1">
      <alignment horizontal="justify" vertical="justify" wrapText="1"/>
      <protection/>
    </xf>
    <xf numFmtId="0" fontId="32" fillId="33" borderId="11" xfId="44" applyFont="1" applyFill="1" applyBorder="1" applyAlignment="1">
      <alignment horizontal="center" vertical="top" wrapText="1"/>
      <protection/>
    </xf>
    <xf numFmtId="207" fontId="32" fillId="33" borderId="11" xfId="44" applyNumberFormat="1" applyFont="1" applyFill="1" applyBorder="1" applyAlignment="1">
      <alignment horizontal="right" vertical="top" wrapText="1"/>
      <protection/>
    </xf>
    <xf numFmtId="4" fontId="33" fillId="33" borderId="11" xfId="44" applyNumberFormat="1" applyFont="1" applyFill="1" applyBorder="1">
      <alignment/>
      <protection/>
    </xf>
    <xf numFmtId="177" fontId="39" fillId="0" borderId="11" xfId="84" applyFont="1" applyBorder="1" applyAlignment="1">
      <alignment horizontal="right" vertical="center" wrapText="1"/>
    </xf>
    <xf numFmtId="176" fontId="33" fillId="0" borderId="11" xfId="50" applyFont="1" applyBorder="1" applyAlignment="1">
      <alignment horizontal="right" vertical="center" wrapText="1"/>
    </xf>
    <xf numFmtId="176" fontId="32" fillId="0" borderId="11" xfId="50" applyFont="1" applyBorder="1" applyAlignment="1">
      <alignment horizontal="right" vertical="top" wrapText="1"/>
    </xf>
    <xf numFmtId="177" fontId="39" fillId="0" borderId="11" xfId="71" applyFont="1" applyBorder="1" applyAlignment="1">
      <alignment horizontal="right" vertical="center" wrapText="1"/>
    </xf>
    <xf numFmtId="4" fontId="33" fillId="33" borderId="11" xfId="44" applyNumberFormat="1" applyFont="1" applyFill="1" applyBorder="1" applyAlignment="1">
      <alignment horizontal="right"/>
      <protection/>
    </xf>
    <xf numFmtId="176" fontId="39" fillId="0" borderId="11" xfId="50" applyFont="1" applyFill="1" applyBorder="1" applyAlignment="1">
      <alignment horizontal="right" vertical="center" wrapText="1"/>
    </xf>
    <xf numFmtId="176" fontId="33" fillId="0" borderId="11" xfId="50" applyFont="1" applyBorder="1" applyAlignment="1">
      <alignment horizontal="center" vertical="center" wrapText="1"/>
    </xf>
    <xf numFmtId="176" fontId="39" fillId="33" borderId="11" xfId="50" applyFont="1" applyFill="1" applyBorder="1" applyAlignment="1">
      <alignment horizontal="center" vertical="center" wrapText="1"/>
    </xf>
    <xf numFmtId="176" fontId="33" fillId="0" borderId="11" xfId="50" applyFont="1" applyFill="1" applyBorder="1" applyAlignment="1">
      <alignment vertical="center" wrapText="1"/>
    </xf>
    <xf numFmtId="0" fontId="33" fillId="0" borderId="0" xfId="0" applyFont="1" applyBorder="1" applyAlignment="1">
      <alignment/>
    </xf>
    <xf numFmtId="177" fontId="39" fillId="0" borderId="11" xfId="84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justify" vertical="justify" wrapText="1"/>
    </xf>
    <xf numFmtId="0" fontId="33" fillId="36" borderId="11" xfId="0" applyFont="1" applyFill="1" applyBorder="1" applyAlignment="1">
      <alignment horizontal="center" vertical="center" wrapText="1"/>
    </xf>
    <xf numFmtId="0" fontId="33" fillId="36" borderId="11" xfId="0" applyFont="1" applyFill="1" applyBorder="1" applyAlignment="1">
      <alignment horizontal="justify" vertical="center" wrapText="1"/>
    </xf>
    <xf numFmtId="0" fontId="33" fillId="36" borderId="11" xfId="0" applyFont="1" applyFill="1" applyBorder="1" applyAlignment="1">
      <alignment vertical="center" wrapText="1"/>
    </xf>
    <xf numFmtId="0" fontId="33" fillId="0" borderId="0" xfId="0" applyFont="1" applyAlignment="1">
      <alignment vertical="center" wrapText="1"/>
    </xf>
    <xf numFmtId="0" fontId="39" fillId="0" borderId="14" xfId="0" applyFont="1" applyFill="1" applyBorder="1" applyAlignment="1">
      <alignment horizontal="center" vertical="center" wrapText="1"/>
    </xf>
    <xf numFmtId="0" fontId="8" fillId="35" borderId="15" xfId="0" applyFont="1" applyFill="1" applyBorder="1" applyAlignment="1">
      <alignment horizontal="center" vertical="center" wrapText="1"/>
    </xf>
    <xf numFmtId="176" fontId="39" fillId="36" borderId="11" xfId="52" applyFont="1" applyFill="1" applyBorder="1" applyAlignment="1">
      <alignment vertical="center" wrapText="1"/>
    </xf>
    <xf numFmtId="176" fontId="39" fillId="0" borderId="11" xfId="52" applyFont="1" applyFill="1" applyBorder="1" applyAlignment="1">
      <alignment vertical="center" wrapText="1"/>
    </xf>
    <xf numFmtId="177" fontId="39" fillId="0" borderId="11" xfId="71" applyFont="1" applyFill="1" applyBorder="1" applyAlignment="1">
      <alignment vertical="center" wrapText="1"/>
    </xf>
    <xf numFmtId="176" fontId="32" fillId="0" borderId="11" xfId="52" applyFont="1" applyBorder="1" applyAlignment="1">
      <alignment horizontal="center" vertical="center" wrapText="1"/>
    </xf>
    <xf numFmtId="176" fontId="32" fillId="0" borderId="0" xfId="52" applyFont="1" applyBorder="1" applyAlignment="1">
      <alignment horizontal="center" vertical="center" wrapText="1"/>
    </xf>
    <xf numFmtId="2" fontId="58" fillId="0" borderId="16" xfId="59" applyNumberFormat="1" applyFont="1" applyBorder="1" applyAlignment="1">
      <alignment horizontal="center" vertical="center"/>
      <protection/>
    </xf>
    <xf numFmtId="0" fontId="8" fillId="0" borderId="11" xfId="55" applyFont="1" applyBorder="1" applyAlignment="1">
      <alignment horizontal="center" vertical="center" wrapText="1"/>
      <protection/>
    </xf>
    <xf numFmtId="0" fontId="8" fillId="0" borderId="11" xfId="55" applyFont="1" applyBorder="1" applyAlignment="1">
      <alignment horizontal="left" wrapText="1"/>
      <protection/>
    </xf>
    <xf numFmtId="0" fontId="58" fillId="0" borderId="16" xfId="59" applyFont="1" applyBorder="1" applyAlignment="1">
      <alignment horizontal="center" vertical="center"/>
      <protection/>
    </xf>
    <xf numFmtId="0" fontId="8" fillId="0" borderId="11" xfId="55" applyFont="1" applyBorder="1" applyAlignment="1">
      <alignment horizontal="center" vertical="center"/>
      <protection/>
    </xf>
    <xf numFmtId="4" fontId="8" fillId="0" borderId="11" xfId="55" applyNumberFormat="1" applyFont="1" applyBorder="1" applyAlignment="1">
      <alignment horizontal="right" vertical="center"/>
      <protection/>
    </xf>
    <xf numFmtId="0" fontId="8" fillId="0" borderId="11" xfId="55" applyFont="1" applyBorder="1" applyAlignment="1">
      <alignment horizontal="left" vertical="center" wrapText="1"/>
      <protection/>
    </xf>
    <xf numFmtId="2" fontId="58" fillId="36" borderId="16" xfId="59" applyNumberFormat="1" applyFont="1" applyFill="1" applyBorder="1" applyAlignment="1">
      <alignment horizontal="center" vertical="center"/>
      <protection/>
    </xf>
    <xf numFmtId="0" fontId="8" fillId="0" borderId="11" xfId="59" applyFont="1" applyBorder="1" applyAlignment="1">
      <alignment horizontal="center" vertical="center" wrapText="1"/>
      <protection/>
    </xf>
    <xf numFmtId="0" fontId="8" fillId="0" borderId="11" xfId="59" applyFont="1" applyBorder="1" applyAlignment="1">
      <alignment horizontal="left" vertical="center" wrapText="1"/>
      <protection/>
    </xf>
    <xf numFmtId="4" fontId="59" fillId="0" borderId="11" xfId="59" applyNumberFormat="1" applyFont="1" applyBorder="1" applyAlignment="1">
      <alignment horizontal="center" vertical="center"/>
      <protection/>
    </xf>
    <xf numFmtId="0" fontId="58" fillId="36" borderId="16" xfId="59" applyFont="1" applyFill="1" applyBorder="1" applyAlignment="1">
      <alignment horizontal="center" vertical="center"/>
      <protection/>
    </xf>
    <xf numFmtId="0" fontId="8" fillId="36" borderId="11" xfId="59" applyFont="1" applyFill="1" applyBorder="1" applyAlignment="1">
      <alignment horizontal="center" vertical="center"/>
      <protection/>
    </xf>
    <xf numFmtId="0" fontId="8" fillId="36" borderId="11" xfId="59" applyFont="1" applyFill="1" applyBorder="1" applyAlignment="1">
      <alignment horizontal="left" vertical="center" wrapText="1"/>
      <protection/>
    </xf>
    <xf numFmtId="0" fontId="6" fillId="36" borderId="16" xfId="59" applyFont="1" applyFill="1" applyBorder="1" applyAlignment="1">
      <alignment horizontal="center" vertical="center"/>
      <protection/>
    </xf>
    <xf numFmtId="0" fontId="8" fillId="36" borderId="11" xfId="59" applyFont="1" applyFill="1" applyBorder="1" applyAlignment="1">
      <alignment wrapText="1"/>
      <protection/>
    </xf>
    <xf numFmtId="2" fontId="6" fillId="36" borderId="16" xfId="59" applyNumberFormat="1" applyFont="1" applyFill="1" applyBorder="1" applyAlignment="1">
      <alignment horizontal="center" vertical="center"/>
      <protection/>
    </xf>
    <xf numFmtId="2" fontId="8" fillId="36" borderId="11" xfId="59" applyNumberFormat="1" applyFont="1" applyFill="1" applyBorder="1" applyAlignment="1">
      <alignment horizontal="center" vertical="center"/>
      <protection/>
    </xf>
    <xf numFmtId="0" fontId="8" fillId="36" borderId="11" xfId="55" applyFont="1" applyFill="1" applyBorder="1" applyAlignment="1">
      <alignment horizontal="center" vertical="center"/>
      <protection/>
    </xf>
    <xf numFmtId="0" fontId="8" fillId="36" borderId="11" xfId="55" applyFont="1" applyFill="1" applyBorder="1" applyAlignment="1">
      <alignment horizontal="left" vertical="center" wrapText="1"/>
      <protection/>
    </xf>
    <xf numFmtId="2" fontId="6" fillId="36" borderId="11" xfId="59" applyNumberFormat="1" applyFont="1" applyFill="1" applyBorder="1" applyAlignment="1">
      <alignment horizontal="center" vertical="center"/>
      <protection/>
    </xf>
    <xf numFmtId="2" fontId="59" fillId="0" borderId="16" xfId="59" applyNumberFormat="1" applyFont="1" applyBorder="1" applyAlignment="1">
      <alignment horizontal="center" vertical="center"/>
      <protection/>
    </xf>
    <xf numFmtId="0" fontId="8" fillId="0" borderId="14" xfId="55" applyFont="1" applyBorder="1" applyAlignment="1">
      <alignment horizontal="center" vertical="center" wrapText="1"/>
      <protection/>
    </xf>
    <xf numFmtId="0" fontId="59" fillId="0" borderId="16" xfId="59" applyFont="1" applyBorder="1" applyAlignment="1">
      <alignment horizontal="center" vertical="center"/>
      <protection/>
    </xf>
    <xf numFmtId="4" fontId="8" fillId="0" borderId="17" xfId="55" applyNumberFormat="1" applyFont="1" applyBorder="1" applyAlignment="1">
      <alignment horizontal="right" vertical="center"/>
      <protection/>
    </xf>
    <xf numFmtId="2" fontId="59" fillId="36" borderId="16" xfId="59" applyNumberFormat="1" applyFont="1" applyFill="1" applyBorder="1" applyAlignment="1">
      <alignment horizontal="center" vertical="center"/>
      <protection/>
    </xf>
    <xf numFmtId="0" fontId="8" fillId="0" borderId="14" xfId="59" applyFont="1" applyBorder="1" applyAlignment="1">
      <alignment horizontal="center" vertical="center" wrapText="1"/>
      <protection/>
    </xf>
    <xf numFmtId="0" fontId="8" fillId="0" borderId="14" xfId="55" applyFont="1" applyBorder="1" applyAlignment="1">
      <alignment horizontal="center" vertical="center"/>
      <protection/>
    </xf>
    <xf numFmtId="0" fontId="59" fillId="36" borderId="16" xfId="59" applyFont="1" applyFill="1" applyBorder="1" applyAlignment="1">
      <alignment horizontal="center" vertical="center"/>
      <protection/>
    </xf>
    <xf numFmtId="0" fontId="8" fillId="36" borderId="14" xfId="59" applyFont="1" applyFill="1" applyBorder="1" applyAlignment="1">
      <alignment horizontal="center" vertical="center"/>
      <protection/>
    </xf>
    <xf numFmtId="0" fontId="8" fillId="36" borderId="16" xfId="59" applyFont="1" applyFill="1" applyBorder="1" applyAlignment="1">
      <alignment horizontal="center" vertical="center"/>
      <protection/>
    </xf>
    <xf numFmtId="2" fontId="8" fillId="36" borderId="16" xfId="59" applyNumberFormat="1" applyFont="1" applyFill="1" applyBorder="1" applyAlignment="1">
      <alignment horizontal="center" vertical="center"/>
      <protection/>
    </xf>
    <xf numFmtId="0" fontId="8" fillId="0" borderId="11" xfId="55" applyFont="1" applyBorder="1" applyAlignment="1">
      <alignment horizontal="justify" vertical="center" wrapText="1"/>
      <protection/>
    </xf>
    <xf numFmtId="4" fontId="8" fillId="0" borderId="11" xfId="55" applyNumberFormat="1" applyFont="1" applyBorder="1" applyAlignment="1">
      <alignment horizontal="center" vertical="center"/>
      <protection/>
    </xf>
    <xf numFmtId="4" fontId="8" fillId="0" borderId="11" xfId="55" applyNumberFormat="1" applyFont="1" applyFill="1" applyBorder="1" applyAlignment="1">
      <alignment horizontal="center" vertical="center" wrapText="1"/>
      <protection/>
    </xf>
    <xf numFmtId="0" fontId="8" fillId="36" borderId="18" xfId="59" applyFont="1" applyFill="1" applyBorder="1" applyAlignment="1">
      <alignment horizontal="center" vertical="center"/>
      <protection/>
    </xf>
    <xf numFmtId="2" fontId="8" fillId="36" borderId="19" xfId="59" applyNumberFormat="1" applyFont="1" applyFill="1" applyBorder="1" applyAlignment="1">
      <alignment horizontal="center" vertical="center"/>
      <protection/>
    </xf>
    <xf numFmtId="2" fontId="8" fillId="36" borderId="18" xfId="59" applyNumberFormat="1" applyFont="1" applyFill="1" applyBorder="1" applyAlignment="1">
      <alignment horizontal="center" vertical="center"/>
      <protection/>
    </xf>
    <xf numFmtId="4" fontId="8" fillId="0" borderId="20" xfId="55" applyNumberFormat="1" applyFont="1" applyBorder="1" applyAlignment="1">
      <alignment horizontal="right" vertical="center"/>
      <protection/>
    </xf>
    <xf numFmtId="0" fontId="8" fillId="36" borderId="14" xfId="55" applyFont="1" applyFill="1" applyBorder="1" applyAlignment="1">
      <alignment horizontal="center" vertical="center"/>
      <protection/>
    </xf>
    <xf numFmtId="0" fontId="59" fillId="0" borderId="11" xfId="59" applyFont="1" applyBorder="1" applyAlignment="1">
      <alignment horizontal="center" vertical="center"/>
      <protection/>
    </xf>
    <xf numFmtId="0" fontId="6" fillId="33" borderId="11" xfId="44" applyFont="1" applyFill="1" applyBorder="1" applyAlignment="1">
      <alignment horizontal="justify" vertical="center" wrapText="1"/>
      <protection/>
    </xf>
    <xf numFmtId="0" fontId="8" fillId="0" borderId="11" xfId="44" applyNumberFormat="1" applyFont="1" applyFill="1" applyBorder="1" applyAlignment="1" applyProtection="1">
      <alignment horizontal="center" vertical="center" wrapText="1"/>
      <protection/>
    </xf>
    <xf numFmtId="0" fontId="8" fillId="0" borderId="11" xfId="66" applyFont="1" applyBorder="1" applyAlignment="1">
      <alignment vertical="center" wrapText="1"/>
      <protection/>
    </xf>
    <xf numFmtId="0" fontId="8" fillId="0" borderId="11" xfId="65" applyFont="1" applyBorder="1" applyAlignment="1">
      <alignment horizontal="center" vertical="center" wrapText="1"/>
      <protection/>
    </xf>
    <xf numFmtId="4" fontId="8" fillId="0" borderId="11" xfId="65" applyNumberFormat="1" applyFont="1" applyBorder="1" applyAlignment="1">
      <alignment vertical="center" wrapText="1"/>
      <protection/>
    </xf>
    <xf numFmtId="176" fontId="8" fillId="0" borderId="11" xfId="50" applyFont="1" applyBorder="1" applyAlignment="1">
      <alignment vertical="center" wrapText="1"/>
    </xf>
    <xf numFmtId="0" fontId="33" fillId="36" borderId="11" xfId="0" applyFont="1" applyFill="1" applyBorder="1" applyAlignment="1">
      <alignment horizontal="right" vertical="center"/>
    </xf>
    <xf numFmtId="0" fontId="33" fillId="36" borderId="11" xfId="0" applyFont="1" applyFill="1" applyBorder="1" applyAlignment="1">
      <alignment horizontal="center" vertical="center"/>
    </xf>
    <xf numFmtId="176" fontId="33" fillId="36" borderId="11" xfId="50" applyFont="1" applyFill="1" applyBorder="1" applyAlignment="1">
      <alignment horizontal="center" vertical="center"/>
    </xf>
    <xf numFmtId="0" fontId="33" fillId="36" borderId="11" xfId="0" applyFont="1" applyFill="1" applyBorder="1" applyAlignment="1">
      <alignment horizontal="right" vertical="center" wrapText="1"/>
    </xf>
    <xf numFmtId="0" fontId="33" fillId="36" borderId="11" xfId="0" applyFont="1" applyFill="1" applyBorder="1" applyAlignment="1">
      <alignment horizontal="left" vertical="center"/>
    </xf>
    <xf numFmtId="0" fontId="8" fillId="0" borderId="0" xfId="0" applyFont="1" applyAlignment="1">
      <alignment vertical="center" wrapText="1"/>
    </xf>
    <xf numFmtId="176" fontId="6" fillId="0" borderId="11" xfId="5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0" fontId="6" fillId="0" borderId="11" xfId="68" applyNumberFormat="1" applyFont="1" applyFill="1" applyBorder="1" applyAlignment="1">
      <alignment horizontal="center" vertical="center" wrapText="1"/>
    </xf>
    <xf numFmtId="10" fontId="6" fillId="33" borderId="11" xfId="68" applyNumberFormat="1" applyFont="1" applyFill="1" applyBorder="1" applyAlignment="1">
      <alignment horizontal="center" vertical="center" wrapText="1"/>
    </xf>
    <xf numFmtId="10" fontId="33" fillId="0" borderId="11" xfId="68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horizontal="center" vertical="center"/>
    </xf>
    <xf numFmtId="0" fontId="8" fillId="4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11" xfId="0" applyFont="1" applyBorder="1" applyAlignment="1">
      <alignment horizontal="justify" vertical="center" wrapText="1"/>
    </xf>
    <xf numFmtId="4" fontId="6" fillId="0" borderId="11" xfId="84" applyNumberFormat="1" applyFont="1" applyBorder="1" applyAlignment="1">
      <alignment horizontal="right" vertical="center"/>
    </xf>
    <xf numFmtId="0" fontId="4" fillId="0" borderId="21" xfId="0" applyFont="1" applyBorder="1" applyAlignment="1">
      <alignment horizontal="justify" vertical="center" wrapText="1"/>
    </xf>
    <xf numFmtId="0" fontId="4" fillId="0" borderId="22" xfId="0" applyFont="1" applyBorder="1" applyAlignment="1">
      <alignment horizontal="justify" vertical="center" wrapText="1"/>
    </xf>
    <xf numFmtId="0" fontId="4" fillId="0" borderId="23" xfId="0" applyFont="1" applyBorder="1" applyAlignment="1">
      <alignment horizontal="justify" vertical="center" wrapText="1"/>
    </xf>
    <xf numFmtId="14" fontId="6" fillId="0" borderId="17" xfId="84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justify" vertical="center" wrapText="1"/>
    </xf>
    <xf numFmtId="0" fontId="4" fillId="0" borderId="25" xfId="0" applyFont="1" applyBorder="1" applyAlignment="1">
      <alignment horizontal="justify" vertical="center" wrapText="1"/>
    </xf>
    <xf numFmtId="0" fontId="6" fillId="0" borderId="21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32" fillId="0" borderId="17" xfId="0" applyFont="1" applyBorder="1" applyAlignment="1">
      <alignment horizontal="center" vertical="center"/>
    </xf>
    <xf numFmtId="177" fontId="33" fillId="0" borderId="23" xfId="0" applyNumberFormat="1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0" fontId="32" fillId="37" borderId="25" xfId="0" applyFont="1" applyFill="1" applyBorder="1" applyAlignment="1">
      <alignment horizontal="right" vertical="center"/>
    </xf>
    <xf numFmtId="177" fontId="33" fillId="0" borderId="25" xfId="0" applyNumberFormat="1" applyFont="1" applyFill="1" applyBorder="1" applyAlignment="1">
      <alignment vertical="center"/>
    </xf>
    <xf numFmtId="4" fontId="33" fillId="0" borderId="25" xfId="68" applyNumberFormat="1" applyFont="1" applyFill="1" applyBorder="1" applyAlignment="1">
      <alignment horizontal="center" vertical="center"/>
    </xf>
    <xf numFmtId="4" fontId="32" fillId="0" borderId="25" xfId="0" applyNumberFormat="1" applyFont="1" applyBorder="1" applyAlignment="1">
      <alignment vertical="center"/>
    </xf>
    <xf numFmtId="10" fontId="32" fillId="0" borderId="25" xfId="0" applyNumberFormat="1" applyFont="1" applyBorder="1" applyAlignment="1">
      <alignment horizontal="center" vertical="center"/>
    </xf>
    <xf numFmtId="177" fontId="32" fillId="0" borderId="25" xfId="0" applyNumberFormat="1" applyFont="1" applyBorder="1" applyAlignment="1">
      <alignment horizontal="right" vertical="center"/>
    </xf>
    <xf numFmtId="0" fontId="33" fillId="0" borderId="26" xfId="0" applyFont="1" applyBorder="1" applyAlignment="1">
      <alignment vertical="center"/>
    </xf>
    <xf numFmtId="0" fontId="33" fillId="0" borderId="27" xfId="0" applyFont="1" applyBorder="1" applyAlignment="1">
      <alignment horizontal="center" vertical="center" wrapText="1"/>
    </xf>
    <xf numFmtId="10" fontId="33" fillId="0" borderId="12" xfId="68" applyNumberFormat="1" applyFont="1" applyFill="1" applyBorder="1" applyAlignment="1">
      <alignment horizontal="right" vertical="center"/>
    </xf>
    <xf numFmtId="177" fontId="33" fillId="0" borderId="12" xfId="84" applyFont="1" applyFill="1" applyBorder="1" applyAlignment="1">
      <alignment horizontal="center" vertical="center"/>
    </xf>
    <xf numFmtId="10" fontId="33" fillId="0" borderId="12" xfId="0" applyNumberFormat="1" applyFont="1" applyFill="1" applyBorder="1" applyAlignment="1">
      <alignment horizontal="center" vertical="center"/>
    </xf>
    <xf numFmtId="4" fontId="33" fillId="0" borderId="12" xfId="0" applyNumberFormat="1" applyFont="1" applyBorder="1" applyAlignment="1">
      <alignment horizontal="center" vertical="center"/>
    </xf>
    <xf numFmtId="10" fontId="33" fillId="0" borderId="12" xfId="68" applyNumberFormat="1" applyFont="1" applyBorder="1" applyAlignment="1">
      <alignment horizontal="center" vertical="center"/>
    </xf>
    <xf numFmtId="177" fontId="32" fillId="0" borderId="25" xfId="84" applyFont="1" applyFill="1" applyBorder="1" applyAlignment="1">
      <alignment vertical="center"/>
    </xf>
    <xf numFmtId="0" fontId="32" fillId="0" borderId="25" xfId="0" applyFont="1" applyFill="1" applyBorder="1" applyAlignment="1">
      <alignment horizontal="center" vertical="center"/>
    </xf>
    <xf numFmtId="177" fontId="32" fillId="0" borderId="25" xfId="84" applyFont="1" applyFill="1" applyBorder="1" applyAlignment="1">
      <alignment horizontal="center" vertical="center"/>
    </xf>
    <xf numFmtId="10" fontId="32" fillId="0" borderId="25" xfId="0" applyNumberFormat="1" applyFont="1" applyFill="1" applyBorder="1" applyAlignment="1">
      <alignment horizontal="center" vertical="center"/>
    </xf>
    <xf numFmtId="4" fontId="32" fillId="0" borderId="25" xfId="0" applyNumberFormat="1" applyFont="1" applyBorder="1" applyAlignment="1">
      <alignment horizontal="center" vertical="center"/>
    </xf>
    <xf numFmtId="2" fontId="32" fillId="0" borderId="25" xfId="0" applyNumberFormat="1" applyFont="1" applyBorder="1" applyAlignment="1">
      <alignment horizontal="center" vertical="center"/>
    </xf>
    <xf numFmtId="2" fontId="32" fillId="0" borderId="26" xfId="0" applyNumberFormat="1" applyFont="1" applyBorder="1" applyAlignment="1">
      <alignment horizontal="center" vertical="center"/>
    </xf>
    <xf numFmtId="177" fontId="33" fillId="0" borderId="28" xfId="0" applyNumberFormat="1" applyFont="1" applyFill="1" applyBorder="1" applyAlignment="1">
      <alignment horizontal="center" vertical="center"/>
    </xf>
    <xf numFmtId="177" fontId="33" fillId="0" borderId="18" xfId="0" applyNumberFormat="1" applyFont="1" applyFill="1" applyBorder="1" applyAlignment="1">
      <alignment horizontal="left" vertical="justify" wrapText="1"/>
    </xf>
    <xf numFmtId="10" fontId="33" fillId="0" borderId="18" xfId="68" applyNumberFormat="1" applyFont="1" applyFill="1" applyBorder="1" applyAlignment="1" applyProtection="1">
      <alignment horizontal="right" vertical="center"/>
      <protection locked="0"/>
    </xf>
    <xf numFmtId="0" fontId="33" fillId="0" borderId="21" xfId="0" applyFont="1" applyFill="1" applyBorder="1" applyAlignment="1">
      <alignment horizontal="center" vertical="center"/>
    </xf>
    <xf numFmtId="0" fontId="32" fillId="37" borderId="22" xfId="0" applyFont="1" applyFill="1" applyBorder="1" applyAlignment="1">
      <alignment horizontal="right" vertical="center"/>
    </xf>
    <xf numFmtId="177" fontId="32" fillId="0" borderId="22" xfId="0" applyNumberFormat="1" applyFont="1" applyFill="1" applyBorder="1" applyAlignment="1">
      <alignment vertical="center"/>
    </xf>
    <xf numFmtId="10" fontId="32" fillId="0" borderId="22" xfId="68" applyNumberFormat="1" applyFont="1" applyFill="1" applyBorder="1" applyAlignment="1">
      <alignment horizontal="right" vertical="center"/>
    </xf>
    <xf numFmtId="10" fontId="32" fillId="0" borderId="22" xfId="0" applyNumberFormat="1" applyFont="1" applyBorder="1" applyAlignment="1">
      <alignment horizontal="center" vertical="center"/>
    </xf>
    <xf numFmtId="10" fontId="32" fillId="0" borderId="29" xfId="0" applyNumberFormat="1" applyFont="1" applyBorder="1" applyAlignment="1">
      <alignment horizontal="center" vertical="center"/>
    </xf>
    <xf numFmtId="176" fontId="33" fillId="0" borderId="12" xfId="50" applyFont="1" applyFill="1" applyBorder="1" applyAlignment="1">
      <alignment vertical="center"/>
    </xf>
    <xf numFmtId="176" fontId="33" fillId="0" borderId="11" xfId="50" applyFont="1" applyFill="1" applyBorder="1" applyAlignment="1">
      <alignment horizontal="right" vertical="center"/>
    </xf>
    <xf numFmtId="176" fontId="33" fillId="0" borderId="18" xfId="50" applyFont="1" applyFill="1" applyBorder="1" applyAlignment="1">
      <alignment horizontal="right" vertical="center"/>
    </xf>
    <xf numFmtId="10" fontId="32" fillId="0" borderId="30" xfId="68" applyNumberFormat="1" applyFont="1" applyBorder="1" applyAlignment="1">
      <alignment horizontal="center" vertical="center"/>
    </xf>
    <xf numFmtId="177" fontId="12" fillId="0" borderId="11" xfId="85" applyFont="1" applyFill="1" applyBorder="1" applyAlignment="1">
      <alignment horizontal="center" vertical="center" wrapText="1"/>
    </xf>
    <xf numFmtId="4" fontId="13" fillId="0" borderId="0" xfId="56" applyNumberFormat="1" applyFont="1" applyFill="1" applyAlignment="1">
      <alignment vertical="center" wrapText="1"/>
      <protection/>
    </xf>
    <xf numFmtId="177" fontId="13" fillId="0" borderId="0" xfId="85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2" fontId="8" fillId="0" borderId="0" xfId="50" applyNumberFormat="1" applyFont="1" applyFill="1" applyAlignment="1">
      <alignment horizontal="right" vertical="center"/>
    </xf>
    <xf numFmtId="0" fontId="8" fillId="33" borderId="0" xfId="0" applyFont="1" applyFill="1" applyAlignment="1">
      <alignment vertical="center"/>
    </xf>
    <xf numFmtId="0" fontId="33" fillId="0" borderId="27" xfId="0" applyFont="1" applyBorder="1" applyAlignment="1">
      <alignment horizontal="left" vertical="center" wrapText="1"/>
    </xf>
    <xf numFmtId="10" fontId="33" fillId="0" borderId="12" xfId="68" applyNumberFormat="1" applyFont="1" applyFill="1" applyBorder="1" applyAlignment="1">
      <alignment horizontal="center" vertical="center"/>
    </xf>
    <xf numFmtId="0" fontId="3" fillId="0" borderId="16" xfId="60" applyFont="1" applyFill="1" applyBorder="1" applyAlignment="1">
      <alignment horizontal="center" vertical="center" wrapText="1"/>
      <protection/>
    </xf>
    <xf numFmtId="0" fontId="3" fillId="0" borderId="31" xfId="60" applyFont="1" applyFill="1" applyBorder="1" applyAlignment="1">
      <alignment horizontal="center" vertical="center" wrapText="1"/>
      <protection/>
    </xf>
    <xf numFmtId="0" fontId="3" fillId="0" borderId="31" xfId="60" applyFont="1" applyFill="1" applyBorder="1" applyAlignment="1">
      <alignment horizontal="justify" vertical="justify" wrapText="1"/>
      <protection/>
    </xf>
    <xf numFmtId="0" fontId="3" fillId="0" borderId="14" xfId="60" applyFont="1" applyFill="1" applyBorder="1" applyAlignment="1">
      <alignment horizontal="center" vertical="center" wrapText="1"/>
      <protection/>
    </xf>
    <xf numFmtId="4" fontId="3" fillId="0" borderId="11" xfId="46" applyNumberFormat="1" applyFont="1" applyFill="1" applyBorder="1" applyAlignment="1" applyProtection="1">
      <alignment vertical="center" wrapText="1"/>
      <protection/>
    </xf>
    <xf numFmtId="0" fontId="3" fillId="0" borderId="11" xfId="60" applyFont="1" applyFill="1" applyBorder="1" applyAlignment="1">
      <alignment horizontal="center" vertical="center"/>
      <protection/>
    </xf>
    <xf numFmtId="0" fontId="3" fillId="0" borderId="11" xfId="60" applyFont="1" applyFill="1" applyBorder="1" applyAlignment="1">
      <alignment horizontal="right" vertical="center" wrapText="1"/>
      <protection/>
    </xf>
    <xf numFmtId="0" fontId="3" fillId="0" borderId="11" xfId="60" applyFont="1" applyFill="1" applyBorder="1" applyAlignment="1">
      <alignment horizontal="justify" vertical="justify" wrapText="1"/>
      <protection/>
    </xf>
    <xf numFmtId="198" fontId="3" fillId="0" borderId="11" xfId="46" applyNumberFormat="1" applyFont="1" applyFill="1" applyBorder="1" applyAlignment="1" applyProtection="1">
      <alignment vertical="center"/>
      <protection/>
    </xf>
    <xf numFmtId="4" fontId="3" fillId="0" borderId="11" xfId="60" applyNumberFormat="1" applyFont="1" applyFill="1" applyBorder="1" applyAlignment="1">
      <alignment vertical="center"/>
      <protection/>
    </xf>
    <xf numFmtId="4" fontId="3" fillId="0" borderId="11" xfId="46" applyNumberFormat="1" applyFont="1" applyFill="1" applyBorder="1" applyAlignment="1" applyProtection="1">
      <alignment vertical="center"/>
      <protection/>
    </xf>
    <xf numFmtId="49" fontId="3" fillId="0" borderId="32" xfId="55" applyNumberFormat="1" applyFont="1" applyFill="1" applyBorder="1" applyAlignment="1">
      <alignment horizontal="center" vertical="center"/>
      <protection/>
    </xf>
    <xf numFmtId="0" fontId="3" fillId="0" borderId="11" xfId="56" applyFont="1" applyFill="1" applyBorder="1" applyAlignment="1">
      <alignment horizontal="center" vertical="center"/>
      <protection/>
    </xf>
    <xf numFmtId="0" fontId="3" fillId="0" borderId="31" xfId="55" applyFont="1" applyFill="1" applyBorder="1" applyAlignment="1">
      <alignment horizontal="left" vertical="center" wrapText="1"/>
      <protection/>
    </xf>
    <xf numFmtId="0" fontId="3" fillId="0" borderId="11" xfId="55" applyFont="1" applyFill="1" applyBorder="1" applyAlignment="1">
      <alignment horizontal="center" vertical="center"/>
      <protection/>
    </xf>
    <xf numFmtId="177" fontId="3" fillId="0" borderId="11" xfId="84" applyFont="1" applyFill="1" applyBorder="1" applyAlignment="1">
      <alignment horizontal="center" vertical="center"/>
    </xf>
    <xf numFmtId="4" fontId="3" fillId="0" borderId="11" xfId="84" applyNumberFormat="1" applyFont="1" applyFill="1" applyBorder="1" applyAlignment="1">
      <alignment horizontal="right" vertical="center"/>
    </xf>
    <xf numFmtId="0" fontId="3" fillId="0" borderId="11" xfId="60" applyFont="1" applyFill="1" applyBorder="1" applyAlignment="1">
      <alignment horizontal="center" vertical="center" wrapText="1"/>
      <protection/>
    </xf>
    <xf numFmtId="4" fontId="0" fillId="0" borderId="11" xfId="46" applyNumberFormat="1" applyFont="1" applyFill="1" applyBorder="1" applyAlignment="1" applyProtection="1">
      <alignment vertical="center" wrapText="1"/>
      <protection/>
    </xf>
    <xf numFmtId="0" fontId="0" fillId="0" borderId="11" xfId="60" applyFont="1" applyFill="1" applyBorder="1" applyAlignment="1">
      <alignment horizontal="center" vertical="center" wrapText="1"/>
      <protection/>
    </xf>
    <xf numFmtId="0" fontId="0" fillId="0" borderId="11" xfId="60" applyFont="1" applyFill="1" applyBorder="1" applyAlignment="1">
      <alignment horizontal="justify" vertical="justify" wrapText="1"/>
      <protection/>
    </xf>
    <xf numFmtId="4" fontId="3" fillId="0" borderId="14" xfId="46" applyNumberFormat="1" applyFont="1" applyFill="1" applyBorder="1" applyAlignment="1" applyProtection="1">
      <alignment vertical="center" wrapText="1"/>
      <protection/>
    </xf>
    <xf numFmtId="0" fontId="6" fillId="0" borderId="31" xfId="56" applyFont="1" applyFill="1" applyBorder="1" applyAlignment="1">
      <alignment vertical="justify"/>
      <protection/>
    </xf>
    <xf numFmtId="0" fontId="3" fillId="0" borderId="0" xfId="56" applyFont="1" applyFill="1" applyBorder="1" applyAlignment="1">
      <alignment horizontal="left" vertical="center"/>
      <protection/>
    </xf>
    <xf numFmtId="0" fontId="3" fillId="0" borderId="33" xfId="60" applyFont="1" applyFill="1" applyBorder="1" applyAlignment="1">
      <alignment horizontal="center" vertical="center" wrapText="1"/>
      <protection/>
    </xf>
    <xf numFmtId="0" fontId="3" fillId="0" borderId="0" xfId="60" applyFont="1" applyFill="1" applyBorder="1" applyAlignment="1">
      <alignment horizontal="center" vertical="center" wrapText="1"/>
      <protection/>
    </xf>
    <xf numFmtId="4" fontId="3" fillId="0" borderId="11" xfId="85" applyNumberFormat="1" applyFont="1" applyFill="1" applyBorder="1" applyAlignment="1">
      <alignment horizontal="right" vertical="center"/>
    </xf>
    <xf numFmtId="0" fontId="3" fillId="0" borderId="31" xfId="60" applyFont="1" applyFill="1" applyBorder="1" applyAlignment="1">
      <alignment vertical="center" wrapText="1"/>
      <protection/>
    </xf>
    <xf numFmtId="177" fontId="3" fillId="0" borderId="11" xfId="84" applyFont="1" applyFill="1" applyBorder="1" applyAlignment="1" applyProtection="1">
      <alignment horizontal="right" vertical="center" wrapText="1"/>
      <protection/>
    </xf>
    <xf numFmtId="0" fontId="0" fillId="0" borderId="0" xfId="55" applyFont="1" applyFill="1">
      <alignment/>
      <protection/>
    </xf>
    <xf numFmtId="209" fontId="6" fillId="0" borderId="11" xfId="60" applyNumberFormat="1" applyFont="1" applyFill="1" applyBorder="1" applyAlignment="1">
      <alignment horizontal="center" vertical="center" wrapText="1"/>
      <protection/>
    </xf>
    <xf numFmtId="182" fontId="12" fillId="0" borderId="11" xfId="56" applyNumberFormat="1" applyFont="1" applyFill="1" applyBorder="1" applyAlignment="1">
      <alignment horizontal="center" vertical="center" wrapText="1"/>
      <protection/>
    </xf>
    <xf numFmtId="4" fontId="3" fillId="0" borderId="0" xfId="60" applyNumberFormat="1" applyFont="1" applyFill="1" applyBorder="1" applyAlignment="1">
      <alignment horizontal="left" vertical="center" wrapText="1"/>
      <protection/>
    </xf>
    <xf numFmtId="4" fontId="3" fillId="0" borderId="0" xfId="60" applyNumberFormat="1" applyFont="1" applyFill="1">
      <alignment/>
      <protection/>
    </xf>
    <xf numFmtId="0" fontId="3" fillId="0" borderId="23" xfId="57" applyNumberFormat="1" applyFont="1" applyFill="1" applyBorder="1" applyAlignment="1" applyProtection="1">
      <alignment horizontal="center" vertical="center"/>
      <protection/>
    </xf>
    <xf numFmtId="0" fontId="3" fillId="0" borderId="14" xfId="57" applyNumberFormat="1" applyFont="1" applyFill="1" applyBorder="1" applyAlignment="1" applyProtection="1">
      <alignment vertical="center"/>
      <protection/>
    </xf>
    <xf numFmtId="0" fontId="3" fillId="0" borderId="11" xfId="57" applyFont="1" applyFill="1" applyBorder="1" applyAlignment="1" applyProtection="1">
      <alignment horizontal="left" vertical="justify"/>
      <protection/>
    </xf>
    <xf numFmtId="0" fontId="3" fillId="0" borderId="11" xfId="57" applyNumberFormat="1" applyFont="1" applyFill="1" applyBorder="1" applyAlignment="1" applyProtection="1">
      <alignment horizontal="center" vertical="center"/>
      <protection/>
    </xf>
    <xf numFmtId="177" fontId="3" fillId="0" borderId="11" xfId="85" applyFont="1" applyFill="1" applyBorder="1" applyAlignment="1" applyProtection="1">
      <alignment vertical="center"/>
      <protection/>
    </xf>
    <xf numFmtId="0" fontId="0" fillId="0" borderId="11" xfId="60" applyFont="1" applyFill="1" applyBorder="1" applyAlignment="1">
      <alignment horizontal="right" vertical="center" wrapText="1"/>
      <protection/>
    </xf>
    <xf numFmtId="198" fontId="0" fillId="0" borderId="11" xfId="60" applyNumberFormat="1" applyFont="1" applyFill="1" applyBorder="1" applyAlignment="1">
      <alignment vertical="center" wrapText="1"/>
      <protection/>
    </xf>
    <xf numFmtId="0" fontId="0" fillId="0" borderId="31" xfId="55" applyFont="1" applyFill="1" applyBorder="1" applyAlignment="1">
      <alignment horizontal="left" vertical="center" wrapText="1"/>
      <protection/>
    </xf>
    <xf numFmtId="4" fontId="3" fillId="0" borderId="0" xfId="46" applyNumberFormat="1" applyFont="1" applyFill="1" applyBorder="1" applyAlignment="1" applyProtection="1">
      <alignment vertical="center" wrapText="1"/>
      <protection/>
    </xf>
    <xf numFmtId="0" fontId="3" fillId="0" borderId="11" xfId="57" applyFont="1" applyFill="1" applyBorder="1" applyAlignment="1" applyProtection="1">
      <alignment vertical="justify" wrapText="1"/>
      <protection/>
    </xf>
    <xf numFmtId="0" fontId="0" fillId="0" borderId="11" xfId="60" applyFont="1" applyFill="1" applyBorder="1" applyAlignment="1">
      <alignment horizontal="right" vertical="center"/>
      <protection/>
    </xf>
    <xf numFmtId="0" fontId="0" fillId="0" borderId="11" xfId="46" applyNumberFormat="1" applyFont="1" applyFill="1" applyBorder="1" applyAlignment="1" applyProtection="1">
      <alignment horizontal="center" vertical="center"/>
      <protection/>
    </xf>
    <xf numFmtId="198" fontId="0" fillId="0" borderId="11" xfId="46" applyNumberFormat="1" applyFont="1" applyFill="1" applyBorder="1" applyAlignment="1" applyProtection="1">
      <alignment vertical="center"/>
      <protection/>
    </xf>
    <xf numFmtId="0" fontId="60" fillId="36" borderId="11" xfId="0" applyFont="1" applyFill="1" applyBorder="1" applyAlignment="1">
      <alignment/>
    </xf>
    <xf numFmtId="0" fontId="60" fillId="36" borderId="0" xfId="0" applyFont="1" applyFill="1" applyBorder="1" applyAlignment="1">
      <alignment/>
    </xf>
    <xf numFmtId="0" fontId="60" fillId="36" borderId="0" xfId="0" applyFont="1" applyFill="1" applyBorder="1" applyAlignment="1">
      <alignment horizontal="center" vertical="center"/>
    </xf>
    <xf numFmtId="0" fontId="60" fillId="36" borderId="11" xfId="0" applyFont="1" applyFill="1" applyBorder="1" applyAlignment="1">
      <alignment horizontal="center" vertical="center"/>
    </xf>
    <xf numFmtId="0" fontId="61" fillId="36" borderId="11" xfId="0" applyNumberFormat="1" applyFont="1" applyFill="1" applyBorder="1" applyAlignment="1">
      <alignment horizontal="center" vertical="center"/>
    </xf>
    <xf numFmtId="0" fontId="60" fillId="36" borderId="11" xfId="0" applyFont="1" applyFill="1" applyBorder="1" applyAlignment="1">
      <alignment horizontal="right"/>
    </xf>
    <xf numFmtId="0" fontId="61" fillId="36" borderId="11" xfId="0" applyFont="1" applyFill="1" applyBorder="1" applyAlignment="1">
      <alignment horizontal="center" vertical="center"/>
    </xf>
    <xf numFmtId="0" fontId="61" fillId="36" borderId="0" xfId="0" applyFont="1" applyFill="1" applyBorder="1" applyAlignment="1">
      <alignment/>
    </xf>
    <xf numFmtId="0" fontId="61" fillId="36" borderId="0" xfId="0" applyFont="1" applyFill="1" applyBorder="1" applyAlignment="1">
      <alignment horizontal="center" vertical="center"/>
    </xf>
    <xf numFmtId="0" fontId="60" fillId="36" borderId="11" xfId="0" applyFont="1" applyFill="1" applyBorder="1" applyAlignment="1">
      <alignment horizontal="left" vertical="center"/>
    </xf>
    <xf numFmtId="10" fontId="60" fillId="36" borderId="11" xfId="0" applyNumberFormat="1" applyFont="1" applyFill="1" applyBorder="1" applyAlignment="1">
      <alignment horizontal="right" vertical="center"/>
    </xf>
    <xf numFmtId="10" fontId="60" fillId="36" borderId="0" xfId="0" applyNumberFormat="1" applyFont="1" applyFill="1" applyBorder="1" applyAlignment="1">
      <alignment horizontal="center" vertical="center"/>
    </xf>
    <xf numFmtId="10" fontId="61" fillId="36" borderId="11" xfId="0" applyNumberFormat="1" applyFont="1" applyFill="1" applyBorder="1" applyAlignment="1">
      <alignment horizontal="right" vertical="center"/>
    </xf>
    <xf numFmtId="10" fontId="61" fillId="36" borderId="11" xfId="0" applyNumberFormat="1" applyFont="1" applyFill="1" applyBorder="1" applyAlignment="1">
      <alignment horizontal="center" vertical="center"/>
    </xf>
    <xf numFmtId="0" fontId="61" fillId="36" borderId="11" xfId="0" applyFont="1" applyFill="1" applyBorder="1" applyAlignment="1">
      <alignment horizontal="right" vertical="center"/>
    </xf>
    <xf numFmtId="49" fontId="61" fillId="36" borderId="11" xfId="0" applyNumberFormat="1" applyFont="1" applyFill="1" applyBorder="1" applyAlignment="1">
      <alignment horizontal="center" vertical="center"/>
    </xf>
    <xf numFmtId="10" fontId="60" fillId="36" borderId="0" xfId="0" applyNumberFormat="1" applyFont="1" applyFill="1" applyBorder="1" applyAlignment="1">
      <alignment/>
    </xf>
    <xf numFmtId="0" fontId="60" fillId="36" borderId="0" xfId="0" applyNumberFormat="1" applyFont="1" applyFill="1" applyBorder="1" applyAlignment="1">
      <alignment/>
    </xf>
    <xf numFmtId="0" fontId="60" fillId="36" borderId="12" xfId="0" applyFont="1" applyFill="1" applyBorder="1" applyAlignment="1">
      <alignment/>
    </xf>
    <xf numFmtId="0" fontId="60" fillId="36" borderId="34" xfId="0" applyFont="1" applyFill="1" applyBorder="1" applyAlignment="1">
      <alignment/>
    </xf>
    <xf numFmtId="0" fontId="60" fillId="36" borderId="35" xfId="0" applyFont="1" applyFill="1" applyBorder="1" applyAlignment="1">
      <alignment/>
    </xf>
    <xf numFmtId="0" fontId="60" fillId="36" borderId="36" xfId="0" applyFont="1" applyFill="1" applyBorder="1" applyAlignment="1">
      <alignment/>
    </xf>
    <xf numFmtId="0" fontId="60" fillId="36" borderId="37" xfId="0" applyFont="1" applyFill="1" applyBorder="1" applyAlignment="1">
      <alignment/>
    </xf>
    <xf numFmtId="0" fontId="60" fillId="36" borderId="10" xfId="0" applyFont="1" applyFill="1" applyBorder="1" applyAlignment="1">
      <alignment/>
    </xf>
    <xf numFmtId="0" fontId="60" fillId="36" borderId="38" xfId="0" applyFont="1" applyFill="1" applyBorder="1" applyAlignment="1">
      <alignment/>
    </xf>
    <xf numFmtId="0" fontId="60" fillId="36" borderId="39" xfId="0" applyFont="1" applyFill="1" applyBorder="1" applyAlignment="1">
      <alignment/>
    </xf>
    <xf numFmtId="0" fontId="60" fillId="36" borderId="40" xfId="0" applyFont="1" applyFill="1" applyBorder="1" applyAlignment="1">
      <alignment/>
    </xf>
    <xf numFmtId="0" fontId="3" fillId="0" borderId="11" xfId="54" applyFont="1" applyFill="1" applyBorder="1" applyAlignment="1">
      <alignment horizontal="left" vertical="center" wrapText="1"/>
      <protection/>
    </xf>
    <xf numFmtId="0" fontId="0" fillId="0" borderId="0" xfId="54" applyFill="1">
      <alignment/>
      <protection/>
    </xf>
    <xf numFmtId="0" fontId="6" fillId="0" borderId="16" xfId="56" applyFont="1" applyFill="1" applyBorder="1" applyAlignment="1">
      <alignment vertical="justify"/>
      <protection/>
    </xf>
    <xf numFmtId="0" fontId="6" fillId="0" borderId="14" xfId="56" applyFont="1" applyFill="1" applyBorder="1" applyAlignment="1">
      <alignment vertical="justify"/>
      <protection/>
    </xf>
    <xf numFmtId="0" fontId="3" fillId="0" borderId="0" xfId="56" applyFont="1" applyFill="1" applyBorder="1" applyAlignment="1">
      <alignment horizontal="center" vertical="center"/>
      <protection/>
    </xf>
    <xf numFmtId="0" fontId="3" fillId="0" borderId="0" xfId="56" applyFont="1" applyFill="1" applyBorder="1" applyAlignment="1">
      <alignment horizontal="justify" vertical="justify"/>
      <protection/>
    </xf>
    <xf numFmtId="177" fontId="3" fillId="0" borderId="0" xfId="85" applyFont="1" applyFill="1" applyBorder="1" applyAlignment="1">
      <alignment horizontal="left" vertical="center" wrapText="1"/>
    </xf>
    <xf numFmtId="0" fontId="3" fillId="0" borderId="41" xfId="60" applyFont="1" applyFill="1" applyBorder="1" applyAlignment="1">
      <alignment horizontal="center" vertical="center" wrapText="1"/>
      <protection/>
    </xf>
    <xf numFmtId="177" fontId="3" fillId="0" borderId="0" xfId="85" applyFont="1" applyFill="1" applyBorder="1" applyAlignment="1">
      <alignment horizontal="right" vertical="center" wrapText="1"/>
    </xf>
    <xf numFmtId="177" fontId="3" fillId="0" borderId="0" xfId="85" applyFont="1" applyFill="1" applyBorder="1" applyAlignment="1">
      <alignment horizontal="center" vertical="center"/>
    </xf>
    <xf numFmtId="177" fontId="3" fillId="0" borderId="0" xfId="85" applyFont="1" applyFill="1" applyBorder="1" applyAlignment="1">
      <alignment vertical="center"/>
    </xf>
    <xf numFmtId="177" fontId="3" fillId="0" borderId="0" xfId="85" applyFont="1" applyFill="1" applyBorder="1" applyAlignment="1">
      <alignment/>
    </xf>
    <xf numFmtId="177" fontId="3" fillId="0" borderId="0" xfId="85" applyFont="1" applyFill="1" applyBorder="1" applyAlignment="1" applyProtection="1">
      <alignment horizontal="right" vertical="center" wrapText="1"/>
      <protection/>
    </xf>
    <xf numFmtId="177" fontId="3" fillId="0" borderId="0" xfId="85" applyFont="1" applyFill="1" applyBorder="1" applyAlignment="1">
      <alignment horizontal="right" vertical="center"/>
    </xf>
    <xf numFmtId="0" fontId="3" fillId="0" borderId="23" xfId="57" applyFont="1" applyFill="1" applyBorder="1" applyAlignment="1" applyProtection="1">
      <alignment horizontal="center" vertical="center"/>
      <protection/>
    </xf>
    <xf numFmtId="0" fontId="3" fillId="0" borderId="14" xfId="57" applyFont="1" applyFill="1" applyBorder="1" applyAlignment="1" applyProtection="1">
      <alignment vertical="center"/>
      <protection/>
    </xf>
    <xf numFmtId="0" fontId="3" fillId="0" borderId="11" xfId="57" applyNumberFormat="1" applyFont="1" applyFill="1" applyBorder="1" applyAlignment="1" applyProtection="1">
      <alignment horizontal="justify" vertical="justify"/>
      <protection/>
    </xf>
    <xf numFmtId="49" fontId="3" fillId="0" borderId="11" xfId="57" applyNumberFormat="1" applyFont="1" applyFill="1" applyBorder="1" applyAlignment="1" applyProtection="1">
      <alignment horizontal="center" vertical="center"/>
      <protection/>
    </xf>
    <xf numFmtId="0" fontId="0" fillId="0" borderId="0" xfId="55" applyFont="1" applyFill="1" applyAlignment="1">
      <alignment horizontal="center"/>
      <protection/>
    </xf>
    <xf numFmtId="49" fontId="3" fillId="0" borderId="31" xfId="55" applyNumberFormat="1" applyFont="1" applyFill="1" applyBorder="1" applyAlignment="1">
      <alignment horizontal="center" vertical="center"/>
      <protection/>
    </xf>
    <xf numFmtId="0" fontId="6" fillId="0" borderId="17" xfId="50" applyNumberFormat="1" applyFont="1" applyFill="1" applyBorder="1" applyAlignment="1">
      <alignment horizontal="right" vertical="center" wrapText="1"/>
    </xf>
    <xf numFmtId="4" fontId="0" fillId="0" borderId="11" xfId="46" applyNumberFormat="1" applyFont="1" applyFill="1" applyBorder="1" applyAlignment="1" applyProtection="1">
      <alignment vertical="center"/>
      <protection/>
    </xf>
    <xf numFmtId="0" fontId="0" fillId="0" borderId="11" xfId="60" applyFont="1" applyFill="1" applyBorder="1" applyAlignment="1">
      <alignment horizontal="center"/>
      <protection/>
    </xf>
    <xf numFmtId="0" fontId="0" fillId="0" borderId="11" xfId="45" applyFont="1" applyFill="1" applyBorder="1" applyAlignment="1">
      <alignment horizontal="right" vertical="center" wrapText="1"/>
      <protection/>
    </xf>
    <xf numFmtId="0" fontId="0" fillId="0" borderId="11" xfId="56" applyFont="1" applyFill="1" applyBorder="1" applyAlignment="1">
      <alignment horizontal="center" vertical="center"/>
      <protection/>
    </xf>
    <xf numFmtId="0" fontId="0" fillId="0" borderId="11" xfId="60" applyNumberFormat="1" applyFont="1" applyFill="1" applyBorder="1" applyAlignment="1">
      <alignment horizontal="right" vertical="center" wrapText="1"/>
      <protection/>
    </xf>
    <xf numFmtId="0" fontId="0" fillId="0" borderId="11" xfId="60" applyFont="1" applyFill="1" applyBorder="1" applyAlignment="1">
      <alignment horizontal="right" vertical="top" wrapText="1"/>
      <protection/>
    </xf>
    <xf numFmtId="0" fontId="0" fillId="0" borderId="0" xfId="60" applyFont="1" applyFill="1" applyAlignment="1">
      <alignment horizontal="justify" vertical="justify"/>
      <protection/>
    </xf>
    <xf numFmtId="0" fontId="0" fillId="0" borderId="11" xfId="60" applyNumberFormat="1" applyFont="1" applyFill="1" applyBorder="1" applyAlignment="1">
      <alignment horizontal="justify" vertical="justify" wrapText="1"/>
      <protection/>
    </xf>
    <xf numFmtId="0" fontId="0" fillId="0" borderId="11" xfId="60" applyFont="1" applyFill="1" applyBorder="1" applyAlignment="1">
      <alignment horizontal="justify" vertical="justify"/>
      <protection/>
    </xf>
    <xf numFmtId="0" fontId="0" fillId="0" borderId="11" xfId="60" applyFont="1" applyFill="1" applyBorder="1" applyAlignment="1">
      <alignment horizontal="center" vertical="center"/>
      <protection/>
    </xf>
    <xf numFmtId="0" fontId="0" fillId="0" borderId="11" xfId="55" applyFont="1" applyFill="1" applyBorder="1" applyAlignment="1">
      <alignment horizontal="center" vertical="center"/>
      <protection/>
    </xf>
    <xf numFmtId="0" fontId="0" fillId="0" borderId="11" xfId="60" applyNumberFormat="1" applyFont="1" applyFill="1" applyBorder="1" applyAlignment="1">
      <alignment horizontal="center" vertical="center"/>
      <protection/>
    </xf>
    <xf numFmtId="198" fontId="0" fillId="0" borderId="0" xfId="60" applyNumberFormat="1" applyFont="1" applyFill="1" applyAlignment="1">
      <alignment/>
      <protection/>
    </xf>
    <xf numFmtId="198" fontId="0" fillId="0" borderId="11" xfId="46" applyNumberFormat="1" applyFont="1" applyFill="1" applyBorder="1" applyAlignment="1" applyProtection="1">
      <alignment vertical="center" wrapText="1"/>
      <protection/>
    </xf>
    <xf numFmtId="177" fontId="0" fillId="0" borderId="11" xfId="84" applyFont="1" applyFill="1" applyBorder="1" applyAlignment="1">
      <alignment horizontal="center" vertical="center"/>
    </xf>
    <xf numFmtId="198" fontId="0" fillId="0" borderId="11" xfId="85" applyNumberFormat="1" applyFont="1" applyFill="1" applyBorder="1" applyAlignment="1">
      <alignment vertical="center"/>
    </xf>
    <xf numFmtId="178" fontId="0" fillId="0" borderId="11" xfId="46" applyNumberFormat="1" applyFont="1" applyFill="1" applyBorder="1" applyAlignment="1" applyProtection="1">
      <alignment vertical="center"/>
      <protection/>
    </xf>
    <xf numFmtId="10" fontId="6" fillId="0" borderId="11" xfId="84" applyNumberFormat="1" applyFont="1" applyFill="1" applyBorder="1" applyAlignment="1">
      <alignment horizontal="right" vertical="center" wrapText="1"/>
    </xf>
    <xf numFmtId="10" fontId="8" fillId="0" borderId="0" xfId="68" applyNumberFormat="1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176" fontId="62" fillId="0" borderId="11" xfId="50" applyFont="1" applyFill="1" applyBorder="1" applyAlignment="1">
      <alignment horizontal="center" vertical="center"/>
    </xf>
    <xf numFmtId="176" fontId="6" fillId="0" borderId="11" xfId="50" applyFont="1" applyFill="1" applyBorder="1" applyAlignment="1">
      <alignment horizontal="center" vertical="center"/>
    </xf>
    <xf numFmtId="0" fontId="8" fillId="0" borderId="11" xfId="0" applyFont="1" applyFill="1" applyBorder="1" applyAlignment="1" quotePrefix="1">
      <alignment horizontal="center" vertical="center" wrapText="1"/>
    </xf>
    <xf numFmtId="0" fontId="8" fillId="0" borderId="11" xfId="54" applyFont="1" applyFill="1" applyBorder="1" applyAlignment="1">
      <alignment vertical="center" wrapText="1"/>
      <protection/>
    </xf>
    <xf numFmtId="0" fontId="8" fillId="0" borderId="11" xfId="54" applyFont="1" applyFill="1" applyBorder="1" applyAlignment="1">
      <alignment horizontal="center" vertical="center" wrapText="1"/>
      <protection/>
    </xf>
    <xf numFmtId="177" fontId="8" fillId="0" borderId="11" xfId="73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vertical="center" wrapText="1"/>
    </xf>
    <xf numFmtId="0" fontId="8" fillId="0" borderId="11" xfId="55" applyFont="1" applyFill="1" applyBorder="1" applyAlignment="1">
      <alignment horizontal="center" vertical="center" wrapText="1"/>
      <protection/>
    </xf>
    <xf numFmtId="0" fontId="8" fillId="0" borderId="11" xfId="0" applyNumberFormat="1" applyFont="1" applyFill="1" applyBorder="1" applyAlignment="1">
      <alignment horizontal="center" vertical="center" wrapText="1"/>
    </xf>
    <xf numFmtId="177" fontId="8" fillId="0" borderId="11" xfId="84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177" fontId="8" fillId="0" borderId="11" xfId="84" applyFont="1" applyFill="1" applyBorder="1" applyAlignment="1">
      <alignment horizontal="center" vertical="center" wrapText="1"/>
    </xf>
    <xf numFmtId="0" fontId="63" fillId="0" borderId="11" xfId="55" applyFont="1" applyFill="1" applyBorder="1" applyAlignment="1">
      <alignment horizontal="center" vertical="center" wrapText="1"/>
      <protection/>
    </xf>
    <xf numFmtId="11" fontId="8" fillId="0" borderId="11" xfId="84" applyNumberFormat="1" applyFont="1" applyFill="1" applyBorder="1" applyAlignment="1">
      <alignment horizontal="justify" vertical="justify" wrapText="1"/>
    </xf>
    <xf numFmtId="4" fontId="8" fillId="0" borderId="11" xfId="84" applyNumberFormat="1" applyFont="1" applyFill="1" applyBorder="1" applyAlignment="1">
      <alignment horizontal="center" vertical="center"/>
    </xf>
    <xf numFmtId="176" fontId="8" fillId="0" borderId="11" xfId="52" applyFont="1" applyFill="1" applyBorder="1" applyAlignment="1">
      <alignment horizontal="center" vertical="center"/>
    </xf>
    <xf numFmtId="0" fontId="59" fillId="0" borderId="11" xfId="55" applyFont="1" applyFill="1" applyBorder="1" applyAlignment="1">
      <alignment horizontal="center" vertical="center" wrapText="1"/>
      <protection/>
    </xf>
    <xf numFmtId="11" fontId="59" fillId="0" borderId="11" xfId="84" applyNumberFormat="1" applyFont="1" applyFill="1" applyBorder="1" applyAlignment="1">
      <alignment vertical="justify"/>
    </xf>
    <xf numFmtId="0" fontId="8" fillId="0" borderId="11" xfId="0" applyFont="1" applyFill="1" applyBorder="1" applyAlignment="1" quotePrefix="1">
      <alignment vertical="center" wrapText="1"/>
    </xf>
    <xf numFmtId="210" fontId="8" fillId="0" borderId="11" xfId="50" applyNumberFormat="1" applyFont="1" applyFill="1" applyBorder="1" applyAlignment="1">
      <alignment horizontal="right" vertical="center"/>
    </xf>
    <xf numFmtId="176" fontId="8" fillId="0" borderId="11" xfId="50" applyFont="1" applyFill="1" applyBorder="1" applyAlignment="1">
      <alignment horizontal="right" vertical="center"/>
    </xf>
    <xf numFmtId="181" fontId="8" fillId="0" borderId="11" xfId="0" applyNumberFormat="1" applyFont="1" applyFill="1" applyBorder="1" applyAlignment="1">
      <alignment horizontal="center" vertical="center"/>
    </xf>
    <xf numFmtId="208" fontId="8" fillId="0" borderId="11" xfId="84" applyNumberFormat="1" applyFont="1" applyFill="1" applyBorder="1" applyAlignment="1">
      <alignment horizontal="center" vertical="center" wrapText="1"/>
    </xf>
    <xf numFmtId="0" fontId="8" fillId="0" borderId="11" xfId="44" applyFont="1" applyFill="1" applyBorder="1" applyAlignment="1">
      <alignment horizontal="justify" vertical="justify" wrapText="1"/>
      <protection/>
    </xf>
    <xf numFmtId="0" fontId="8" fillId="0" borderId="11" xfId="44" applyFont="1" applyFill="1" applyBorder="1" applyAlignment="1">
      <alignment horizontal="center" vertical="top" wrapText="1"/>
      <protection/>
    </xf>
    <xf numFmtId="207" fontId="8" fillId="0" borderId="11" xfId="44" applyNumberFormat="1" applyFont="1" applyFill="1" applyBorder="1" applyAlignment="1">
      <alignment horizontal="right" vertical="top" wrapText="1"/>
      <protection/>
    </xf>
    <xf numFmtId="176" fontId="8" fillId="0" borderId="11" xfId="50" applyFont="1" applyFill="1" applyBorder="1" applyAlignment="1">
      <alignment vertical="top" wrapText="1"/>
    </xf>
    <xf numFmtId="176" fontId="8" fillId="0" borderId="11" xfId="52" applyFont="1" applyFill="1" applyBorder="1" applyAlignment="1">
      <alignment horizontal="right" vertical="center"/>
    </xf>
    <xf numFmtId="176" fontId="8" fillId="0" borderId="11" xfId="50" applyFont="1" applyFill="1" applyBorder="1" applyAlignment="1">
      <alignment horizontal="right" vertical="top" wrapText="1"/>
    </xf>
    <xf numFmtId="0" fontId="8" fillId="0" borderId="11" xfId="44" applyFont="1" applyFill="1" applyBorder="1" applyAlignment="1">
      <alignment vertical="top" wrapText="1"/>
      <protection/>
    </xf>
    <xf numFmtId="4" fontId="8" fillId="0" borderId="11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justify" vertical="center" wrapText="1"/>
    </xf>
    <xf numFmtId="2" fontId="8" fillId="0" borderId="11" xfId="52" applyNumberFormat="1" applyFont="1" applyFill="1" applyBorder="1" applyAlignment="1">
      <alignment horizontal="right" vertical="center" wrapText="1"/>
    </xf>
    <xf numFmtId="176" fontId="8" fillId="0" borderId="11" xfId="52" applyFont="1" applyFill="1" applyBorder="1" applyAlignment="1">
      <alignment vertical="center" wrapText="1"/>
    </xf>
    <xf numFmtId="0" fontId="8" fillId="0" borderId="11" xfId="0" applyFont="1" applyFill="1" applyBorder="1" applyAlignment="1" quotePrefix="1">
      <alignment horizontal="center" vertical="center"/>
    </xf>
    <xf numFmtId="0" fontId="8" fillId="0" borderId="11" xfId="0" applyFont="1" applyFill="1" applyBorder="1" applyAlignment="1" quotePrefix="1">
      <alignment horizontal="left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 quotePrefix="1">
      <alignment wrapText="1"/>
    </xf>
    <xf numFmtId="206" fontId="6" fillId="0" borderId="11" xfId="84" applyNumberFormat="1" applyFont="1" applyFill="1" applyBorder="1" applyAlignment="1">
      <alignment horizontal="right" vertical="center"/>
    </xf>
    <xf numFmtId="10" fontId="6" fillId="0" borderId="11" xfId="68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76" fontId="8" fillId="0" borderId="0" xfId="50" applyFont="1" applyFill="1" applyAlignment="1">
      <alignment horizontal="right" vertical="center"/>
    </xf>
    <xf numFmtId="176" fontId="8" fillId="0" borderId="0" xfId="50" applyFont="1" applyFill="1" applyAlignment="1">
      <alignment horizontal="right" vertical="center" indent="2"/>
    </xf>
    <xf numFmtId="0" fontId="8" fillId="0" borderId="11" xfId="0" applyFont="1" applyFill="1" applyBorder="1" applyAlignment="1">
      <alignment vertical="center"/>
    </xf>
    <xf numFmtId="10" fontId="8" fillId="0" borderId="11" xfId="68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10" fontId="6" fillId="0" borderId="11" xfId="68" applyNumberFormat="1" applyFont="1" applyFill="1" applyBorder="1" applyAlignment="1">
      <alignment horizontal="left" vertical="center" wrapText="1"/>
    </xf>
    <xf numFmtId="10" fontId="6" fillId="0" borderId="11" xfId="50" applyNumberFormat="1" applyFont="1" applyFill="1" applyBorder="1" applyAlignment="1">
      <alignment horizontal="right" vertical="center" wrapText="1"/>
    </xf>
    <xf numFmtId="0" fontId="6" fillId="0" borderId="11" xfId="50" applyNumberFormat="1" applyFont="1" applyFill="1" applyBorder="1" applyAlignment="1">
      <alignment horizontal="right" vertical="center" wrapText="1"/>
    </xf>
    <xf numFmtId="176" fontId="6" fillId="0" borderId="11" xfId="50" applyFont="1" applyFill="1" applyBorder="1" applyAlignment="1">
      <alignment horizontal="right" vertical="center"/>
    </xf>
    <xf numFmtId="17" fontId="3" fillId="0" borderId="11" xfId="56" applyNumberFormat="1" applyFont="1" applyFill="1" applyBorder="1">
      <alignment/>
      <protection/>
    </xf>
    <xf numFmtId="14" fontId="6" fillId="0" borderId="11" xfId="50" applyNumberFormat="1" applyFont="1" applyFill="1" applyBorder="1" applyAlignment="1">
      <alignment horizontal="left" vertical="center" wrapText="1"/>
    </xf>
    <xf numFmtId="0" fontId="6" fillId="0" borderId="11" xfId="44" applyFont="1" applyFill="1" applyBorder="1" applyAlignment="1">
      <alignment horizontal="left" vertical="center" wrapText="1"/>
      <protection/>
    </xf>
    <xf numFmtId="0" fontId="6" fillId="0" borderId="11" xfId="44" applyFont="1" applyFill="1" applyBorder="1" applyAlignment="1">
      <alignment vertical="center" wrapText="1"/>
      <protection/>
    </xf>
    <xf numFmtId="176" fontId="6" fillId="0" borderId="11" xfId="52" applyFont="1" applyFill="1" applyBorder="1" applyAlignment="1">
      <alignment horizontal="center" vertical="center" wrapText="1"/>
    </xf>
    <xf numFmtId="181" fontId="8" fillId="0" borderId="11" xfId="54" applyNumberFormat="1" applyFont="1" applyFill="1" applyBorder="1" applyAlignment="1">
      <alignment horizontal="left" vertical="center" wrapText="1"/>
      <protection/>
    </xf>
    <xf numFmtId="181" fontId="8" fillId="0" borderId="11" xfId="54" applyNumberFormat="1" applyFont="1" applyFill="1" applyBorder="1" applyAlignment="1">
      <alignment horizontal="center" vertical="center" wrapText="1"/>
      <protection/>
    </xf>
    <xf numFmtId="177" fontId="8" fillId="0" borderId="11" xfId="73" applyFont="1" applyFill="1" applyBorder="1" applyAlignment="1" quotePrefix="1">
      <alignment horizontal="center" vertical="center" wrapText="1"/>
    </xf>
    <xf numFmtId="10" fontId="8" fillId="0" borderId="11" xfId="68" applyNumberFormat="1" applyFont="1" applyFill="1" applyBorder="1" applyAlignment="1">
      <alignment horizontal="center" vertical="center" wrapText="1"/>
    </xf>
    <xf numFmtId="176" fontId="8" fillId="0" borderId="11" xfId="5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vertical="center" wrapText="1"/>
    </xf>
    <xf numFmtId="9" fontId="8" fillId="0" borderId="11" xfId="68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 quotePrefix="1">
      <alignment vertical="center" wrapText="1"/>
    </xf>
    <xf numFmtId="0" fontId="8" fillId="0" borderId="11" xfId="0" applyNumberFormat="1" applyFont="1" applyFill="1" applyBorder="1" applyAlignment="1" quotePrefix="1">
      <alignment horizontal="center" vertical="center" wrapText="1"/>
    </xf>
    <xf numFmtId="0" fontId="8" fillId="0" borderId="11" xfId="0" applyNumberFormat="1" applyFont="1" applyFill="1" applyBorder="1" applyAlignment="1">
      <alignment horizontal="left" vertical="center" wrapText="1"/>
    </xf>
    <xf numFmtId="177" fontId="6" fillId="0" borderId="11" xfId="84" applyFont="1" applyFill="1" applyBorder="1" applyAlignment="1">
      <alignment horizontal="center" vertical="top" wrapText="1"/>
    </xf>
    <xf numFmtId="176" fontId="6" fillId="0" borderId="11" xfId="50" applyFont="1" applyFill="1" applyBorder="1" applyAlignment="1">
      <alignment horizontal="center" wrapText="1"/>
    </xf>
    <xf numFmtId="10" fontId="6" fillId="0" borderId="11" xfId="68" applyNumberFormat="1" applyFont="1" applyFill="1" applyBorder="1" applyAlignment="1">
      <alignment horizontal="center" wrapText="1"/>
    </xf>
    <xf numFmtId="208" fontId="6" fillId="0" borderId="11" xfId="84" applyNumberFormat="1" applyFont="1" applyFill="1" applyBorder="1" applyAlignment="1">
      <alignment horizontal="center" vertical="center" wrapText="1"/>
    </xf>
    <xf numFmtId="49" fontId="6" fillId="0" borderId="11" xfId="84" applyNumberFormat="1" applyFont="1" applyFill="1" applyBorder="1" applyAlignment="1">
      <alignment vertical="center" wrapText="1"/>
    </xf>
    <xf numFmtId="177" fontId="6" fillId="0" borderId="11" xfId="84" applyFont="1" applyFill="1" applyBorder="1" applyAlignment="1">
      <alignment horizontal="center" wrapText="1"/>
    </xf>
    <xf numFmtId="181" fontId="6" fillId="0" borderId="11" xfId="0" applyNumberFormat="1" applyFont="1" applyFill="1" applyBorder="1" applyAlignment="1">
      <alignment horizontal="center" vertical="center"/>
    </xf>
    <xf numFmtId="181" fontId="6" fillId="0" borderId="11" xfId="0" applyNumberFormat="1" applyFont="1" applyFill="1" applyBorder="1" applyAlignment="1" quotePrefix="1">
      <alignment horizontal="center" vertical="center"/>
    </xf>
    <xf numFmtId="0" fontId="6" fillId="0" borderId="11" xfId="0" applyFont="1" applyFill="1" applyBorder="1" applyAlignment="1" quotePrefix="1">
      <alignment horizontal="center" vertical="center"/>
    </xf>
    <xf numFmtId="0" fontId="6" fillId="0" borderId="11" xfId="0" applyFont="1" applyFill="1" applyBorder="1" applyAlignment="1">
      <alignment vertical="center" wrapText="1"/>
    </xf>
    <xf numFmtId="176" fontId="6" fillId="0" borderId="11" xfId="50" applyFont="1" applyFill="1" applyBorder="1" applyAlignment="1">
      <alignment horizontal="right" vertical="center" wrapText="1"/>
    </xf>
    <xf numFmtId="176" fontId="6" fillId="0" borderId="11" xfId="50" applyFont="1" applyFill="1" applyBorder="1" applyAlignment="1">
      <alignment horizontal="right" vertical="center" wrapText="1" indent="2"/>
    </xf>
    <xf numFmtId="206" fontId="6" fillId="0" borderId="11" xfId="50" applyNumberFormat="1" applyFont="1" applyFill="1" applyBorder="1" applyAlignment="1">
      <alignment horizontal="right" vertical="center" wrapText="1"/>
    </xf>
    <xf numFmtId="206" fontId="6" fillId="0" borderId="11" xfId="50" applyNumberFormat="1" applyFont="1" applyFill="1" applyBorder="1" applyAlignment="1">
      <alignment horizontal="right" vertical="center"/>
    </xf>
    <xf numFmtId="2" fontId="6" fillId="0" borderId="11" xfId="50" applyNumberFormat="1" applyFont="1" applyFill="1" applyBorder="1" applyAlignment="1">
      <alignment horizontal="right" vertical="center" wrapText="1"/>
    </xf>
    <xf numFmtId="176" fontId="6" fillId="0" borderId="11" xfId="50" applyFont="1" applyFill="1" applyBorder="1" applyAlignment="1">
      <alignment horizontal="right" vertical="center" indent="2"/>
    </xf>
    <xf numFmtId="176" fontId="6" fillId="0" borderId="11" xfId="52" applyFont="1" applyFill="1" applyBorder="1" applyAlignment="1">
      <alignment horizontal="right" vertical="center" wrapText="1"/>
    </xf>
    <xf numFmtId="176" fontId="6" fillId="0" borderId="11" xfId="52" applyFont="1" applyFill="1" applyBorder="1" applyAlignment="1">
      <alignment horizontal="right" vertical="center" wrapText="1" indent="2"/>
    </xf>
    <xf numFmtId="206" fontId="6" fillId="0" borderId="11" xfId="52" applyNumberFormat="1" applyFont="1" applyFill="1" applyBorder="1" applyAlignment="1">
      <alignment horizontal="right" vertical="center" wrapText="1"/>
    </xf>
    <xf numFmtId="177" fontId="6" fillId="0" borderId="11" xfId="84" applyFont="1" applyFill="1" applyBorder="1" applyAlignment="1">
      <alignment horizontal="center" vertical="center"/>
    </xf>
    <xf numFmtId="177" fontId="6" fillId="0" borderId="11" xfId="84" applyFont="1" applyFill="1" applyBorder="1" applyAlignment="1">
      <alignment horizontal="justify" vertical="center"/>
    </xf>
    <xf numFmtId="177" fontId="8" fillId="0" borderId="11" xfId="84" applyFont="1" applyFill="1" applyBorder="1" applyAlignment="1" quotePrefix="1">
      <alignment horizontal="center" vertical="center"/>
    </xf>
    <xf numFmtId="176" fontId="8" fillId="0" borderId="11" xfId="52" applyFont="1" applyFill="1" applyBorder="1" applyAlignment="1">
      <alignment horizontal="right" vertical="center" indent="2"/>
    </xf>
    <xf numFmtId="0" fontId="8" fillId="0" borderId="11" xfId="0" applyFont="1" applyFill="1" applyBorder="1" applyAlignment="1">
      <alignment horizontal="justify" vertical="justify" wrapText="1"/>
    </xf>
    <xf numFmtId="0" fontId="8" fillId="0" borderId="11" xfId="0" applyFont="1" applyFill="1" applyBorder="1" applyAlignment="1">
      <alignment horizontal="center" vertical="justify" wrapText="1"/>
    </xf>
    <xf numFmtId="177" fontId="8" fillId="0" borderId="11" xfId="84" applyFont="1" applyFill="1" applyBorder="1" applyAlignment="1">
      <alignment horizontal="right" vertical="center" wrapText="1"/>
    </xf>
    <xf numFmtId="206" fontId="6" fillId="0" borderId="11" xfId="52" applyNumberFormat="1" applyFont="1" applyFill="1" applyBorder="1" applyAlignment="1">
      <alignment horizontal="right" vertical="center"/>
    </xf>
    <xf numFmtId="2" fontId="6" fillId="0" borderId="11" xfId="52" applyNumberFormat="1" applyFont="1" applyFill="1" applyBorder="1" applyAlignment="1">
      <alignment horizontal="right" vertical="center" wrapText="1"/>
    </xf>
    <xf numFmtId="176" fontId="6" fillId="0" borderId="11" xfId="52" applyFont="1" applyFill="1" applyBorder="1" applyAlignment="1">
      <alignment horizontal="right" vertical="center" indent="2"/>
    </xf>
    <xf numFmtId="0" fontId="61" fillId="36" borderId="11" xfId="0" applyFont="1" applyFill="1" applyBorder="1" applyAlignment="1">
      <alignment horizontal="center" vertical="center"/>
    </xf>
    <xf numFmtId="0" fontId="61" fillId="36" borderId="11" xfId="0" applyFont="1" applyFill="1" applyBorder="1" applyAlignment="1">
      <alignment horizontal="right" vertical="center"/>
    </xf>
    <xf numFmtId="0" fontId="60" fillId="36" borderId="11" xfId="0" applyFont="1" applyFill="1" applyBorder="1" applyAlignment="1">
      <alignment horizontal="center" vertical="center"/>
    </xf>
    <xf numFmtId="10" fontId="57" fillId="36" borderId="11" xfId="0" applyNumberFormat="1" applyFont="1" applyFill="1" applyBorder="1" applyAlignment="1">
      <alignment horizontal="center" vertical="center"/>
    </xf>
    <xf numFmtId="0" fontId="61" fillId="36" borderId="37" xfId="0" applyFont="1" applyFill="1" applyBorder="1" applyAlignment="1">
      <alignment horizontal="center" vertical="center"/>
    </xf>
    <xf numFmtId="0" fontId="61" fillId="36" borderId="0" xfId="0" applyFont="1" applyFill="1" applyBorder="1" applyAlignment="1">
      <alignment horizontal="center" vertical="center"/>
    </xf>
    <xf numFmtId="0" fontId="61" fillId="36" borderId="10" xfId="0" applyFont="1" applyFill="1" applyBorder="1" applyAlignment="1">
      <alignment horizontal="center" vertical="center"/>
    </xf>
    <xf numFmtId="0" fontId="61" fillId="36" borderId="42" xfId="0" applyFont="1" applyFill="1" applyBorder="1" applyAlignment="1">
      <alignment horizontal="center" vertical="center"/>
    </xf>
    <xf numFmtId="0" fontId="61" fillId="36" borderId="43" xfId="0" applyFont="1" applyFill="1" applyBorder="1" applyAlignment="1">
      <alignment horizontal="center" vertical="center"/>
    </xf>
    <xf numFmtId="0" fontId="61" fillId="36" borderId="4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176" fontId="6" fillId="0" borderId="11" xfId="50" applyFont="1" applyFill="1" applyBorder="1" applyAlignment="1">
      <alignment horizontal="center" vertical="center"/>
    </xf>
    <xf numFmtId="176" fontId="6" fillId="0" borderId="11" xfId="52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177" fontId="6" fillId="0" borderId="11" xfId="84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left" vertical="center" wrapText="1"/>
    </xf>
    <xf numFmtId="0" fontId="4" fillId="0" borderId="49" xfId="0" applyFont="1" applyBorder="1" applyAlignment="1">
      <alignment horizontal="left" vertical="center" wrapText="1"/>
    </xf>
    <xf numFmtId="0" fontId="4" fillId="0" borderId="50" xfId="0" applyFont="1" applyBorder="1" applyAlignment="1">
      <alignment horizontal="left" vertical="center" wrapText="1"/>
    </xf>
    <xf numFmtId="0" fontId="4" fillId="0" borderId="51" xfId="0" applyFont="1" applyBorder="1" applyAlignment="1">
      <alignment horizontal="left" vertical="center" wrapText="1"/>
    </xf>
    <xf numFmtId="0" fontId="4" fillId="0" borderId="52" xfId="0" applyFont="1" applyBorder="1" applyAlignment="1">
      <alignment horizontal="left" vertical="center" wrapText="1"/>
    </xf>
    <xf numFmtId="0" fontId="4" fillId="0" borderId="53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10" fontId="6" fillId="0" borderId="0" xfId="84" applyNumberFormat="1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7" borderId="37" xfId="0" applyFont="1" applyFill="1" applyBorder="1" applyAlignment="1">
      <alignment horizontal="left" vertical="center" wrapText="1"/>
    </xf>
    <xf numFmtId="0" fontId="6" fillId="37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176" fontId="6" fillId="0" borderId="38" xfId="0" applyNumberFormat="1" applyFont="1" applyFill="1" applyBorder="1" applyAlignment="1">
      <alignment horizontal="left" vertical="center" wrapText="1"/>
    </xf>
    <xf numFmtId="0" fontId="6" fillId="0" borderId="39" xfId="0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horizontal="left" vertical="center" wrapText="1"/>
    </xf>
    <xf numFmtId="0" fontId="8" fillId="0" borderId="51" xfId="0" applyFont="1" applyBorder="1" applyAlignment="1">
      <alignment horizontal="left" vertical="center" wrapText="1"/>
    </xf>
    <xf numFmtId="0" fontId="8" fillId="0" borderId="52" xfId="0" applyFont="1" applyBorder="1" applyAlignment="1">
      <alignment horizontal="left" vertical="center" wrapText="1"/>
    </xf>
    <xf numFmtId="0" fontId="8" fillId="0" borderId="53" xfId="0" applyFont="1" applyBorder="1" applyAlignment="1">
      <alignment horizontal="left" vertical="center" wrapText="1"/>
    </xf>
    <xf numFmtId="4" fontId="4" fillId="0" borderId="19" xfId="0" applyNumberFormat="1" applyFont="1" applyBorder="1" applyAlignment="1">
      <alignment horizontal="center" vertical="center"/>
    </xf>
    <xf numFmtId="4" fontId="4" fillId="0" borderId="54" xfId="0" applyNumberFormat="1" applyFont="1" applyBorder="1" applyAlignment="1">
      <alignment horizontal="center" vertical="center"/>
    </xf>
    <xf numFmtId="4" fontId="4" fillId="0" borderId="55" xfId="0" applyNumberFormat="1" applyFont="1" applyBorder="1" applyAlignment="1">
      <alignment horizontal="center" vertical="center"/>
    </xf>
    <xf numFmtId="4" fontId="4" fillId="0" borderId="39" xfId="0" applyNumberFormat="1" applyFont="1" applyBorder="1" applyAlignment="1">
      <alignment horizontal="center" vertical="center"/>
    </xf>
    <xf numFmtId="14" fontId="4" fillId="0" borderId="56" xfId="0" applyNumberFormat="1" applyFont="1" applyBorder="1" applyAlignment="1">
      <alignment horizontal="left" vertical="center"/>
    </xf>
    <xf numFmtId="14" fontId="4" fillId="0" borderId="40" xfId="0" applyNumberFormat="1" applyFont="1" applyBorder="1" applyAlignment="1">
      <alignment horizontal="left" vertical="center"/>
    </xf>
    <xf numFmtId="0" fontId="8" fillId="0" borderId="25" xfId="0" applyFont="1" applyBorder="1" applyAlignment="1">
      <alignment vertical="center" wrapText="1"/>
    </xf>
    <xf numFmtId="0" fontId="8" fillId="0" borderId="25" xfId="0" applyFont="1" applyBorder="1" applyAlignment="1">
      <alignment vertical="center"/>
    </xf>
    <xf numFmtId="0" fontId="0" fillId="0" borderId="25" xfId="0" applyBorder="1" applyAlignment="1">
      <alignment vertical="center"/>
    </xf>
    <xf numFmtId="49" fontId="32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0" fontId="8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32" fillId="0" borderId="22" xfId="0" applyFont="1" applyBorder="1" applyAlignment="1">
      <alignment horizontal="center" vertical="center"/>
    </xf>
    <xf numFmtId="0" fontId="32" fillId="0" borderId="29" xfId="0" applyFont="1" applyBorder="1" applyAlignment="1">
      <alignment vertical="center"/>
    </xf>
    <xf numFmtId="49" fontId="32" fillId="0" borderId="21" xfId="0" applyNumberFormat="1" applyFont="1" applyFill="1" applyBorder="1" applyAlignment="1">
      <alignment horizontal="center" vertical="center" wrapText="1"/>
    </xf>
    <xf numFmtId="49" fontId="32" fillId="0" borderId="23" xfId="0" applyNumberFormat="1" applyFont="1" applyFill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3" fillId="0" borderId="16" xfId="60" applyFont="1" applyFill="1" applyBorder="1" applyAlignment="1">
      <alignment horizontal="center" vertical="center" wrapText="1"/>
      <protection/>
    </xf>
    <xf numFmtId="0" fontId="3" fillId="0" borderId="31" xfId="60" applyFont="1" applyFill="1" applyBorder="1" applyAlignment="1">
      <alignment horizontal="center" vertical="center" wrapText="1"/>
      <protection/>
    </xf>
    <xf numFmtId="0" fontId="3" fillId="0" borderId="14" xfId="60" applyFont="1" applyFill="1" applyBorder="1" applyAlignment="1">
      <alignment horizontal="center" vertical="center" wrapText="1"/>
      <protection/>
    </xf>
    <xf numFmtId="0" fontId="6" fillId="0" borderId="16" xfId="56" applyFont="1" applyFill="1" applyBorder="1" applyAlignment="1">
      <alignment horizontal="left" vertical="justify"/>
      <protection/>
    </xf>
    <xf numFmtId="0" fontId="6" fillId="0" borderId="31" xfId="56" applyFont="1" applyFill="1" applyBorder="1" applyAlignment="1">
      <alignment horizontal="left" vertical="justify"/>
      <protection/>
    </xf>
    <xf numFmtId="0" fontId="6" fillId="0" borderId="14" xfId="56" applyFont="1" applyFill="1" applyBorder="1" applyAlignment="1">
      <alignment horizontal="left" vertical="justify"/>
      <protection/>
    </xf>
    <xf numFmtId="0" fontId="6" fillId="0" borderId="16" xfId="56" applyFont="1" applyFill="1" applyBorder="1" applyAlignment="1">
      <alignment horizontal="left" vertical="center"/>
      <protection/>
    </xf>
    <xf numFmtId="0" fontId="6" fillId="0" borderId="31" xfId="56" applyFont="1" applyFill="1" applyBorder="1" applyAlignment="1">
      <alignment horizontal="left" vertical="center"/>
      <protection/>
    </xf>
    <xf numFmtId="0" fontId="6" fillId="0" borderId="14" xfId="56" applyFont="1" applyFill="1" applyBorder="1" applyAlignment="1">
      <alignment horizontal="left" vertical="center"/>
      <protection/>
    </xf>
    <xf numFmtId="0" fontId="3" fillId="0" borderId="45" xfId="60" applyFont="1" applyFill="1" applyBorder="1" applyAlignment="1">
      <alignment horizontal="center" vertical="center" wrapText="1"/>
      <protection/>
    </xf>
    <xf numFmtId="0" fontId="3" fillId="0" borderId="46" xfId="60" applyFont="1" applyFill="1" applyBorder="1" applyAlignment="1">
      <alignment horizontal="center" vertical="center" wrapText="1"/>
      <protection/>
    </xf>
    <xf numFmtId="0" fontId="3" fillId="0" borderId="47" xfId="60" applyFont="1" applyFill="1" applyBorder="1" applyAlignment="1">
      <alignment horizontal="center" vertical="center" wrapText="1"/>
      <protection/>
    </xf>
    <xf numFmtId="0" fontId="57" fillId="33" borderId="18" xfId="0" applyFont="1" applyFill="1" applyBorder="1" applyAlignment="1">
      <alignment horizontal="center" vertical="center" wrapText="1"/>
    </xf>
    <xf numFmtId="0" fontId="57" fillId="33" borderId="57" xfId="0" applyFont="1" applyFill="1" applyBorder="1" applyAlignment="1">
      <alignment horizontal="center" vertical="center" wrapText="1"/>
    </xf>
    <xf numFmtId="0" fontId="57" fillId="33" borderId="12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 vertical="center" wrapText="1"/>
    </xf>
    <xf numFmtId="0" fontId="32" fillId="38" borderId="11" xfId="0" applyFont="1" applyFill="1" applyBorder="1" applyAlignment="1">
      <alignment horizontal="center" vertical="center" wrapText="1"/>
    </xf>
    <xf numFmtId="0" fontId="33" fillId="38" borderId="11" xfId="0" applyFont="1" applyFill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57" fillId="33" borderId="18" xfId="0" applyFont="1" applyFill="1" applyBorder="1" applyAlignment="1">
      <alignment horizontal="center" vertical="center"/>
    </xf>
    <xf numFmtId="0" fontId="57" fillId="33" borderId="57" xfId="0" applyFont="1" applyFill="1" applyBorder="1" applyAlignment="1">
      <alignment horizontal="center" vertical="center"/>
    </xf>
    <xf numFmtId="0" fontId="57" fillId="33" borderId="12" xfId="0" applyFont="1" applyFill="1" applyBorder="1" applyAlignment="1">
      <alignment horizontal="center" vertical="center"/>
    </xf>
  </cellXfs>
  <cellStyles count="7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Excel Built-in Normal_Plan1" xfId="45"/>
    <cellStyle name="Excel Built-in Separador de milhares 2" xfId="46"/>
    <cellStyle name="Hyperlink" xfId="47"/>
    <cellStyle name="Followed Hyperlink" xfId="48"/>
    <cellStyle name="Incorreto" xfId="49"/>
    <cellStyle name="Currency" xfId="50"/>
    <cellStyle name="Currency [0]" xfId="51"/>
    <cellStyle name="Moeda 2" xfId="52"/>
    <cellStyle name="Neutra" xfId="53"/>
    <cellStyle name="Normal 10" xfId="54"/>
    <cellStyle name="Normal 2" xfId="55"/>
    <cellStyle name="Normal 2 2" xfId="56"/>
    <cellStyle name="Normal 2 3" xfId="57"/>
    <cellStyle name="Normal 3" xfId="58"/>
    <cellStyle name="Normal 4" xfId="59"/>
    <cellStyle name="Normal 5" xfId="60"/>
    <cellStyle name="Normal 6" xfId="61"/>
    <cellStyle name="Normal 7" xfId="62"/>
    <cellStyle name="Normal 8" xfId="63"/>
    <cellStyle name="Normal 9" xfId="64"/>
    <cellStyle name="Normal_COMPOSIÇÃO PEC" xfId="65"/>
    <cellStyle name="Normal_ORCPAVCID2003" xfId="66"/>
    <cellStyle name="Nota" xfId="67"/>
    <cellStyle name="Percent" xfId="68"/>
    <cellStyle name="Saída" xfId="69"/>
    <cellStyle name="Comma [0]" xfId="70"/>
    <cellStyle name="Separador de milhares 2" xfId="71"/>
    <cellStyle name="Separador de milhares 2 2" xfId="72"/>
    <cellStyle name="Separador de milhares 2 2 2" xfId="73"/>
    <cellStyle name="Separador de milhares 2 3" xfId="74"/>
    <cellStyle name="Separador de milhares 4" xfId="75"/>
    <cellStyle name="Texto de Aviso" xfId="76"/>
    <cellStyle name="Texto Explicativo" xfId="77"/>
    <cellStyle name="Título" xfId="78"/>
    <cellStyle name="Título 1" xfId="79"/>
    <cellStyle name="Título 2" xfId="80"/>
    <cellStyle name="Título 3" xfId="81"/>
    <cellStyle name="Título 4" xfId="82"/>
    <cellStyle name="Total" xfId="83"/>
    <cellStyle name="Comma" xfId="84"/>
    <cellStyle name="Vírgula 2" xfId="85"/>
    <cellStyle name="Vírgula 3 2" xfId="86"/>
  </cellStyles>
  <dxfs count="4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361950</xdr:colOff>
      <xdr:row>0</xdr:row>
      <xdr:rowOff>0</xdr:rowOff>
    </xdr:from>
    <xdr:to>
      <xdr:col>2</xdr:col>
      <xdr:colOff>1104900</xdr:colOff>
      <xdr:row>5</xdr:row>
      <xdr:rowOff>19050</xdr:rowOff>
    </xdr:to>
    <xdr:pic>
      <xdr:nvPicPr>
        <xdr:cNvPr id="1" name="Picture 3" descr="Imagem relacionad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7429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76200</xdr:rowOff>
    </xdr:from>
    <xdr:to>
      <xdr:col>0</xdr:col>
      <xdr:colOff>857250</xdr:colOff>
      <xdr:row>5</xdr:row>
      <xdr:rowOff>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76200"/>
          <a:ext cx="6667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Igor\Renova%20Engenharia\Projetos%202012\Sindal\Creche\Planilha%20Or&#231;ament&#225;ria\Particular\SEDTUR\Projetos%20-%20Jorge%20Rachid\Projetos%20Finais\Portaria\Or&#231;amento%20Constru&#231;&#227;o%20Port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or&#231;amento%20bloco%20de%20hist&#243;ria\CARLOS_SET_planilha_orcamentaria_cronograma_composicao_centro_de_Pesquisa_historia(1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RPTI\Desktop\backup%20Carlos%20&#193;rea%20de%20Trabalho\reajustes%20de%20contrato\REAJUSTE%20CONT.%20CONST.%20EMA\REAJUSTAMENTO%20DE%20CONTRATO%20CONST.%20EMA%20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DA"/>
      <sheetName val="Planilha"/>
      <sheetName val="Resumo Material"/>
      <sheetName val="Cronograma"/>
    </sheetNames>
    <sheetDataSet>
      <sheetData sheetId="1">
        <row r="6">
          <cell r="A6" t="str">
            <v>OBRA:</v>
          </cell>
        </row>
        <row r="7">
          <cell r="A7" t="str">
            <v>ENDEREÇO:</v>
          </cell>
        </row>
        <row r="8">
          <cell r="A8" t="str">
            <v>MUNICÍPIO: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DA"/>
      <sheetName val="ORÇAMENTO"/>
      <sheetName val="UNITÁRIO"/>
      <sheetName val="CRONOGRAM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. 051-2017"/>
      <sheetName val="CONT. 042-2017"/>
      <sheetName val="CONT. 084-2016"/>
      <sheetName val="CONT. 103-2017"/>
      <sheetName val="BLOCO DE HISTORIA"/>
    </sheetNames>
    <sheetDataSet>
      <sheetData sheetId="4">
        <row r="6">
          <cell r="K6">
            <v>0.425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39.57421875" style="288" customWidth="1"/>
    <col min="2" max="2" width="23.8515625" style="288" customWidth="1"/>
    <col min="3" max="3" width="17.28125" style="288" customWidth="1"/>
    <col min="4" max="4" width="13.8515625" style="288" customWidth="1"/>
    <col min="5" max="5" width="18.00390625" style="289" customWidth="1"/>
    <col min="6" max="6" width="17.28125" style="289" customWidth="1"/>
    <col min="7" max="7" width="14.7109375" style="289" customWidth="1"/>
    <col min="8" max="8" width="14.8515625" style="289" customWidth="1"/>
    <col min="9" max="24" width="9.140625" style="289" customWidth="1"/>
    <col min="25" max="16384" width="9.140625" style="288" customWidth="1"/>
  </cols>
  <sheetData>
    <row r="1" spans="1:3" ht="12.75">
      <c r="A1" s="306"/>
      <c r="B1" s="307"/>
      <c r="C1" s="308"/>
    </row>
    <row r="2" spans="1:3" ht="12.75">
      <c r="A2" s="454" t="s">
        <v>530</v>
      </c>
      <c r="B2" s="455"/>
      <c r="C2" s="456"/>
    </row>
    <row r="3" spans="1:3" ht="12.75">
      <c r="A3" s="454" t="s">
        <v>531</v>
      </c>
      <c r="B3" s="455"/>
      <c r="C3" s="456"/>
    </row>
    <row r="4" spans="1:3" ht="12.75">
      <c r="A4" s="454" t="s">
        <v>532</v>
      </c>
      <c r="B4" s="455"/>
      <c r="C4" s="456"/>
    </row>
    <row r="5" spans="1:3" ht="12.75">
      <c r="A5" s="309"/>
      <c r="C5" s="310"/>
    </row>
    <row r="6" spans="1:3" ht="13.5" thickBot="1">
      <c r="A6" s="311"/>
      <c r="B6" s="312"/>
      <c r="C6" s="313"/>
    </row>
    <row r="7" spans="1:3" ht="13.5" thickBot="1">
      <c r="A7" s="457" t="s">
        <v>533</v>
      </c>
      <c r="B7" s="458"/>
      <c r="C7" s="459"/>
    </row>
    <row r="8" spans="1:3" ht="12.75">
      <c r="A8" s="305"/>
      <c r="B8" s="305"/>
      <c r="C8" s="305"/>
    </row>
    <row r="9" spans="1:3" s="289" customFormat="1" ht="12.75">
      <c r="A9" s="290"/>
      <c r="B9" s="290" t="s">
        <v>534</v>
      </c>
      <c r="C9" s="291" t="s">
        <v>535</v>
      </c>
    </row>
    <row r="10" spans="1:3" ht="12.75">
      <c r="A10" s="287"/>
      <c r="B10" s="292"/>
      <c r="C10" s="291"/>
    </row>
    <row r="11" spans="1:3" ht="12.75">
      <c r="A11" s="287"/>
      <c r="B11" s="287"/>
      <c r="C11" s="287"/>
    </row>
    <row r="12" spans="1:24" s="294" customFormat="1" ht="12.75">
      <c r="A12" s="450" t="s">
        <v>536</v>
      </c>
      <c r="B12" s="450"/>
      <c r="C12" s="293" t="s">
        <v>3</v>
      </c>
      <c r="E12" s="295"/>
      <c r="F12" s="295"/>
      <c r="G12" s="295"/>
      <c r="H12" s="295"/>
      <c r="I12" s="295"/>
      <c r="J12" s="295"/>
      <c r="K12" s="295"/>
      <c r="L12" s="295"/>
      <c r="M12" s="295"/>
      <c r="N12" s="295"/>
      <c r="O12" s="295"/>
      <c r="P12" s="295"/>
      <c r="Q12" s="295"/>
      <c r="R12" s="295"/>
      <c r="S12" s="295"/>
      <c r="T12" s="295"/>
      <c r="U12" s="295"/>
      <c r="V12" s="295"/>
      <c r="W12" s="295"/>
      <c r="X12" s="295"/>
    </row>
    <row r="13" spans="1:24" ht="12.75">
      <c r="A13" s="296" t="s">
        <v>537</v>
      </c>
      <c r="B13" s="287"/>
      <c r="C13" s="297">
        <v>0.04</v>
      </c>
      <c r="E13" s="298"/>
      <c r="F13" s="298"/>
      <c r="G13" s="298"/>
      <c r="H13" s="298"/>
      <c r="I13" s="298"/>
      <c r="J13" s="298"/>
      <c r="K13" s="298"/>
      <c r="L13" s="298"/>
      <c r="M13" s="298"/>
      <c r="N13" s="298"/>
      <c r="O13" s="298"/>
      <c r="P13" s="298"/>
      <c r="Q13" s="298"/>
      <c r="R13" s="298"/>
      <c r="S13" s="298"/>
      <c r="T13" s="298"/>
      <c r="U13" s="298"/>
      <c r="V13" s="298"/>
      <c r="W13" s="298"/>
      <c r="X13" s="298"/>
    </row>
    <row r="14" spans="1:24" ht="12.75">
      <c r="A14" s="296" t="s">
        <v>538</v>
      </c>
      <c r="B14" s="287"/>
      <c r="C14" s="297">
        <v>0.0159</v>
      </c>
      <c r="E14" s="298"/>
      <c r="F14" s="298"/>
      <c r="G14" s="298"/>
      <c r="H14" s="298"/>
      <c r="I14" s="298"/>
      <c r="J14" s="298"/>
      <c r="K14" s="298"/>
      <c r="L14" s="298"/>
      <c r="M14" s="298"/>
      <c r="N14" s="298"/>
      <c r="O14" s="298"/>
      <c r="P14" s="298"/>
      <c r="Q14" s="298"/>
      <c r="R14" s="298"/>
      <c r="S14" s="298"/>
      <c r="T14" s="298"/>
      <c r="U14" s="298"/>
      <c r="V14" s="298"/>
      <c r="W14" s="298"/>
      <c r="X14" s="298"/>
    </row>
    <row r="15" spans="1:24" ht="12.75">
      <c r="A15" s="296" t="s">
        <v>539</v>
      </c>
      <c r="B15" s="287"/>
      <c r="C15" s="297">
        <v>0.0183</v>
      </c>
      <c r="E15" s="298"/>
      <c r="F15" s="298"/>
      <c r="G15" s="298"/>
      <c r="H15" s="298"/>
      <c r="I15" s="298"/>
      <c r="J15" s="298"/>
      <c r="K15" s="298"/>
      <c r="L15" s="298"/>
      <c r="M15" s="298"/>
      <c r="N15" s="298"/>
      <c r="O15" s="298"/>
      <c r="P15" s="298"/>
      <c r="Q15" s="298"/>
      <c r="R15" s="298"/>
      <c r="S15" s="298"/>
      <c r="T15" s="298"/>
      <c r="U15" s="298"/>
      <c r="V15" s="298"/>
      <c r="W15" s="298"/>
      <c r="X15" s="298"/>
    </row>
    <row r="16" spans="1:24" ht="12.75">
      <c r="A16" s="296" t="s">
        <v>540</v>
      </c>
      <c r="B16" s="287"/>
      <c r="C16" s="297">
        <v>0.005</v>
      </c>
      <c r="E16" s="298"/>
      <c r="F16" s="298"/>
      <c r="G16" s="298"/>
      <c r="H16" s="298"/>
      <c r="I16" s="298"/>
      <c r="J16" s="298"/>
      <c r="K16" s="298"/>
      <c r="L16" s="298"/>
      <c r="M16" s="298"/>
      <c r="N16" s="298"/>
      <c r="O16" s="298"/>
      <c r="P16" s="298"/>
      <c r="Q16" s="298"/>
      <c r="R16" s="298"/>
      <c r="S16" s="298"/>
      <c r="T16" s="298"/>
      <c r="U16" s="298"/>
      <c r="V16" s="298"/>
      <c r="W16" s="298"/>
      <c r="X16" s="298"/>
    </row>
    <row r="17" spans="1:24" ht="12.75">
      <c r="A17" s="296" t="s">
        <v>541</v>
      </c>
      <c r="B17" s="287"/>
      <c r="C17" s="297">
        <v>0.003</v>
      </c>
      <c r="E17" s="298"/>
      <c r="F17" s="298"/>
      <c r="G17" s="298"/>
      <c r="H17" s="298"/>
      <c r="I17" s="298"/>
      <c r="J17" s="298"/>
      <c r="K17" s="298"/>
      <c r="L17" s="298"/>
      <c r="M17" s="298"/>
      <c r="N17" s="298"/>
      <c r="O17" s="298"/>
      <c r="P17" s="298"/>
      <c r="Q17" s="298"/>
      <c r="R17" s="298"/>
      <c r="S17" s="298"/>
      <c r="T17" s="298"/>
      <c r="U17" s="298"/>
      <c r="V17" s="298"/>
      <c r="W17" s="298"/>
      <c r="X17" s="298"/>
    </row>
    <row r="18" spans="1:24" ht="12.75">
      <c r="A18" s="287"/>
      <c r="B18" s="293" t="s">
        <v>542</v>
      </c>
      <c r="C18" s="299">
        <f>SUM(C13:C17)</f>
        <v>0.08220000000000001</v>
      </c>
      <c r="D18" s="294"/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8"/>
      <c r="W18" s="298"/>
      <c r="X18" s="298"/>
    </row>
    <row r="19" spans="1:24" ht="12.75">
      <c r="A19" s="450" t="s">
        <v>543</v>
      </c>
      <c r="B19" s="450"/>
      <c r="C19" s="300" t="s">
        <v>3</v>
      </c>
      <c r="E19" s="298"/>
      <c r="F19" s="298"/>
      <c r="G19" s="298"/>
      <c r="H19" s="298"/>
      <c r="I19" s="298"/>
      <c r="J19" s="298"/>
      <c r="K19" s="298"/>
      <c r="L19" s="298"/>
      <c r="M19" s="298"/>
      <c r="N19" s="298"/>
      <c r="O19" s="298"/>
      <c r="P19" s="298"/>
      <c r="Q19" s="298"/>
      <c r="R19" s="298"/>
      <c r="S19" s="298"/>
      <c r="T19" s="298"/>
      <c r="U19" s="298"/>
      <c r="V19" s="298"/>
      <c r="W19" s="298"/>
      <c r="X19" s="298"/>
    </row>
    <row r="20" spans="1:24" ht="12.75">
      <c r="A20" s="287" t="s">
        <v>544</v>
      </c>
      <c r="B20" s="287"/>
      <c r="C20" s="297">
        <v>0.0799</v>
      </c>
      <c r="E20" s="298"/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298"/>
      <c r="S20" s="298"/>
      <c r="T20" s="298"/>
      <c r="U20" s="298"/>
      <c r="V20" s="298"/>
      <c r="W20" s="298"/>
      <c r="X20" s="298"/>
    </row>
    <row r="21" spans="1:24" ht="12.75">
      <c r="A21" s="287"/>
      <c r="B21" s="301" t="s">
        <v>542</v>
      </c>
      <c r="C21" s="299">
        <f>SUM(C20)</f>
        <v>0.0799</v>
      </c>
      <c r="D21" s="294"/>
      <c r="E21" s="298"/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8"/>
      <c r="W21" s="298"/>
      <c r="X21" s="298"/>
    </row>
    <row r="22" spans="1:24" ht="12.75">
      <c r="A22" s="287"/>
      <c r="B22" s="287"/>
      <c r="C22" s="297"/>
      <c r="E22" s="298"/>
      <c r="F22" s="298"/>
      <c r="G22" s="298"/>
      <c r="H22" s="298"/>
      <c r="I22" s="298"/>
      <c r="J22" s="298"/>
      <c r="K22" s="298"/>
      <c r="L22" s="298"/>
      <c r="M22" s="298"/>
      <c r="N22" s="298"/>
      <c r="O22" s="298"/>
      <c r="P22" s="298"/>
      <c r="Q22" s="298"/>
      <c r="R22" s="298"/>
      <c r="S22" s="298"/>
      <c r="T22" s="298"/>
      <c r="U22" s="298"/>
      <c r="V22" s="298"/>
      <c r="W22" s="298"/>
      <c r="X22" s="298"/>
    </row>
    <row r="23" spans="1:24" ht="12.75">
      <c r="A23" s="450" t="s">
        <v>545</v>
      </c>
      <c r="B23" s="450"/>
      <c r="C23" s="302" t="s">
        <v>3</v>
      </c>
      <c r="E23" s="298"/>
      <c r="F23" s="298"/>
      <c r="G23" s="298"/>
      <c r="H23" s="298"/>
      <c r="I23" s="298"/>
      <c r="J23" s="298"/>
      <c r="K23" s="298"/>
      <c r="L23" s="298"/>
      <c r="M23" s="298"/>
      <c r="N23" s="298"/>
      <c r="O23" s="298"/>
      <c r="P23" s="298"/>
      <c r="Q23" s="298"/>
      <c r="R23" s="298"/>
      <c r="S23" s="298"/>
      <c r="T23" s="298"/>
      <c r="U23" s="298"/>
      <c r="V23" s="298"/>
      <c r="W23" s="298"/>
      <c r="X23" s="298"/>
    </row>
    <row r="24" spans="1:24" ht="12.75">
      <c r="A24" s="296" t="s">
        <v>546</v>
      </c>
      <c r="B24" s="287"/>
      <c r="C24" s="297">
        <v>0.0065</v>
      </c>
      <c r="E24" s="298"/>
      <c r="F24" s="298"/>
      <c r="G24" s="298"/>
      <c r="H24" s="298"/>
      <c r="I24" s="298"/>
      <c r="J24" s="298"/>
      <c r="K24" s="298"/>
      <c r="L24" s="298"/>
      <c r="M24" s="298"/>
      <c r="N24" s="298"/>
      <c r="O24" s="298"/>
      <c r="P24" s="298"/>
      <c r="Q24" s="298"/>
      <c r="R24" s="298"/>
      <c r="S24" s="298"/>
      <c r="T24" s="298"/>
      <c r="U24" s="298"/>
      <c r="V24" s="298"/>
      <c r="W24" s="298"/>
      <c r="X24" s="298"/>
    </row>
    <row r="25" spans="1:24" ht="12.75">
      <c r="A25" s="287" t="s">
        <v>547</v>
      </c>
      <c r="B25" s="287"/>
      <c r="C25" s="297">
        <v>0.03</v>
      </c>
      <c r="E25" s="298"/>
      <c r="F25" s="298"/>
      <c r="G25" s="298"/>
      <c r="H25" s="298"/>
      <c r="I25" s="298"/>
      <c r="J25" s="298"/>
      <c r="K25" s="298"/>
      <c r="L25" s="298"/>
      <c r="M25" s="298"/>
      <c r="N25" s="298"/>
      <c r="O25" s="298"/>
      <c r="P25" s="298"/>
      <c r="Q25" s="298"/>
      <c r="R25" s="298"/>
      <c r="S25" s="298"/>
      <c r="T25" s="298"/>
      <c r="U25" s="298"/>
      <c r="V25" s="298"/>
      <c r="W25" s="298"/>
      <c r="X25" s="298"/>
    </row>
    <row r="26" spans="1:24" ht="12.75">
      <c r="A26" s="287" t="s">
        <v>548</v>
      </c>
      <c r="B26" s="293" t="s">
        <v>551</v>
      </c>
      <c r="C26" s="297">
        <v>0.025</v>
      </c>
      <c r="D26" s="303"/>
      <c r="E26" s="298"/>
      <c r="F26" s="298"/>
      <c r="G26" s="298"/>
      <c r="H26" s="298"/>
      <c r="I26" s="298"/>
      <c r="J26" s="298"/>
      <c r="K26" s="298"/>
      <c r="L26" s="298"/>
      <c r="M26" s="298"/>
      <c r="N26" s="298"/>
      <c r="O26" s="298"/>
      <c r="P26" s="298"/>
      <c r="Q26" s="298"/>
      <c r="R26" s="298"/>
      <c r="S26" s="298"/>
      <c r="T26" s="298"/>
      <c r="U26" s="298"/>
      <c r="V26" s="298"/>
      <c r="W26" s="298"/>
      <c r="X26" s="298"/>
    </row>
    <row r="27" spans="1:24" ht="12.75">
      <c r="A27" s="287" t="s">
        <v>549</v>
      </c>
      <c r="B27" s="287"/>
      <c r="C27" s="297">
        <v>0</v>
      </c>
      <c r="D27" s="304"/>
      <c r="E27" s="298"/>
      <c r="F27" s="298"/>
      <c r="G27" s="298"/>
      <c r="H27" s="298"/>
      <c r="I27" s="298"/>
      <c r="J27" s="298"/>
      <c r="K27" s="298"/>
      <c r="L27" s="298"/>
      <c r="M27" s="298"/>
      <c r="N27" s="298"/>
      <c r="O27" s="298"/>
      <c r="P27" s="298"/>
      <c r="Q27" s="298"/>
      <c r="R27" s="298"/>
      <c r="S27" s="298"/>
      <c r="T27" s="298"/>
      <c r="U27" s="298"/>
      <c r="V27" s="298"/>
      <c r="W27" s="298"/>
      <c r="X27" s="298"/>
    </row>
    <row r="28" spans="1:24" ht="12.75">
      <c r="A28" s="451" t="s">
        <v>542</v>
      </c>
      <c r="B28" s="451"/>
      <c r="C28" s="299">
        <f>SUM(C24:C27)</f>
        <v>0.0615</v>
      </c>
      <c r="E28" s="298"/>
      <c r="F28" s="298"/>
      <c r="G28" s="298"/>
      <c r="H28" s="298"/>
      <c r="I28" s="298"/>
      <c r="J28" s="298"/>
      <c r="K28" s="298"/>
      <c r="L28" s="298"/>
      <c r="M28" s="298"/>
      <c r="N28" s="298"/>
      <c r="O28" s="298"/>
      <c r="P28" s="298"/>
      <c r="Q28" s="298"/>
      <c r="R28" s="298"/>
      <c r="S28" s="298"/>
      <c r="T28" s="298"/>
      <c r="U28" s="298"/>
      <c r="V28" s="298"/>
      <c r="W28" s="298"/>
      <c r="X28" s="298"/>
    </row>
    <row r="29" spans="1:24" ht="12.75">
      <c r="A29" s="287"/>
      <c r="B29" s="287"/>
      <c r="C29" s="297"/>
      <c r="E29" s="298"/>
      <c r="F29" s="298"/>
      <c r="G29" s="298"/>
      <c r="H29" s="298"/>
      <c r="I29" s="298"/>
      <c r="J29" s="298"/>
      <c r="K29" s="298"/>
      <c r="L29" s="298"/>
      <c r="M29" s="298"/>
      <c r="N29" s="298"/>
      <c r="O29" s="298"/>
      <c r="P29" s="298"/>
      <c r="Q29" s="298"/>
      <c r="R29" s="298"/>
      <c r="S29" s="298"/>
      <c r="T29" s="298"/>
      <c r="U29" s="298"/>
      <c r="V29" s="298"/>
      <c r="W29" s="298"/>
      <c r="X29" s="298"/>
    </row>
    <row r="30" spans="1:24" ht="12.75">
      <c r="A30" s="287"/>
      <c r="B30" s="287"/>
      <c r="C30" s="297"/>
      <c r="E30" s="298"/>
      <c r="F30" s="298"/>
      <c r="G30" s="298"/>
      <c r="H30" s="298"/>
      <c r="I30" s="298"/>
      <c r="J30" s="298"/>
      <c r="K30" s="298"/>
      <c r="L30" s="298"/>
      <c r="M30" s="298"/>
      <c r="N30" s="298"/>
      <c r="O30" s="298"/>
      <c r="P30" s="298"/>
      <c r="Q30" s="298"/>
      <c r="R30" s="298"/>
      <c r="S30" s="298"/>
      <c r="T30" s="298"/>
      <c r="U30" s="298"/>
      <c r="V30" s="298"/>
      <c r="W30" s="298"/>
      <c r="X30" s="298"/>
    </row>
    <row r="31" spans="1:24" ht="12.75">
      <c r="A31" s="452"/>
      <c r="B31" s="452"/>
      <c r="C31" s="453" t="s">
        <v>3</v>
      </c>
      <c r="E31" s="298"/>
      <c r="F31" s="298"/>
      <c r="G31" s="298"/>
      <c r="H31" s="298"/>
      <c r="I31" s="298"/>
      <c r="J31" s="298"/>
      <c r="K31" s="298"/>
      <c r="L31" s="298"/>
      <c r="M31" s="298"/>
      <c r="N31" s="298"/>
      <c r="O31" s="298"/>
      <c r="P31" s="298"/>
      <c r="Q31" s="298"/>
      <c r="R31" s="298"/>
      <c r="S31" s="298"/>
      <c r="T31" s="298"/>
      <c r="U31" s="298"/>
      <c r="V31" s="298"/>
      <c r="W31" s="298"/>
      <c r="X31" s="298"/>
    </row>
    <row r="32" spans="1:24" ht="12.75">
      <c r="A32" s="452"/>
      <c r="B32" s="452"/>
      <c r="C32" s="453"/>
      <c r="E32" s="298"/>
      <c r="F32" s="298"/>
      <c r="G32" s="298"/>
      <c r="H32" s="298"/>
      <c r="I32" s="298"/>
      <c r="J32" s="298"/>
      <c r="K32" s="298"/>
      <c r="L32" s="298"/>
      <c r="M32" s="298"/>
      <c r="N32" s="298"/>
      <c r="O32" s="298"/>
      <c r="P32" s="298"/>
      <c r="Q32" s="298"/>
      <c r="R32" s="298"/>
      <c r="S32" s="298"/>
      <c r="T32" s="298"/>
      <c r="U32" s="298"/>
      <c r="V32" s="298"/>
      <c r="W32" s="298"/>
      <c r="X32" s="298"/>
    </row>
    <row r="33" spans="1:24" ht="12.75">
      <c r="A33" s="452"/>
      <c r="B33" s="452"/>
      <c r="C33" s="453"/>
      <c r="E33" s="298"/>
      <c r="F33" s="298"/>
      <c r="G33" s="298"/>
      <c r="H33" s="298"/>
      <c r="I33" s="298"/>
      <c r="J33" s="298"/>
      <c r="K33" s="298"/>
      <c r="L33" s="298"/>
      <c r="M33" s="298"/>
      <c r="N33" s="298"/>
      <c r="O33" s="298"/>
      <c r="P33" s="298"/>
      <c r="Q33" s="298"/>
      <c r="R33" s="298"/>
      <c r="S33" s="298"/>
      <c r="T33" s="298"/>
      <c r="U33" s="298"/>
      <c r="V33" s="298"/>
      <c r="W33" s="298"/>
      <c r="X33" s="298"/>
    </row>
    <row r="34" spans="1:24" ht="12.75">
      <c r="A34" s="452"/>
      <c r="B34" s="452"/>
      <c r="C34" s="453"/>
      <c r="E34" s="298"/>
      <c r="F34" s="298"/>
      <c r="G34" s="298"/>
      <c r="H34" s="298"/>
      <c r="I34" s="298"/>
      <c r="J34" s="298"/>
      <c r="K34" s="298"/>
      <c r="L34" s="298"/>
      <c r="M34" s="298"/>
      <c r="N34" s="298"/>
      <c r="O34" s="298"/>
      <c r="P34" s="298"/>
      <c r="Q34" s="298"/>
      <c r="R34" s="298"/>
      <c r="S34" s="298"/>
      <c r="T34" s="298"/>
      <c r="U34" s="298"/>
      <c r="V34" s="298"/>
      <c r="W34" s="298"/>
      <c r="X34" s="298"/>
    </row>
    <row r="35" spans="1:24" ht="12.75">
      <c r="A35" s="451" t="s">
        <v>550</v>
      </c>
      <c r="B35" s="451"/>
      <c r="C35" s="299">
        <f>(((1+C13+C16+C15+C17)*(1+C14)*(1+C21))/(1-C28))-1</f>
        <v>0.24646369545338276</v>
      </c>
      <c r="E35" s="298"/>
      <c r="F35" s="298"/>
      <c r="G35" s="298"/>
      <c r="H35" s="298"/>
      <c r="I35" s="298"/>
      <c r="J35" s="298"/>
      <c r="K35" s="298"/>
      <c r="L35" s="298"/>
      <c r="M35" s="298"/>
      <c r="N35" s="298"/>
      <c r="O35" s="298"/>
      <c r="P35" s="298"/>
      <c r="Q35" s="298"/>
      <c r="R35" s="298"/>
      <c r="S35" s="298"/>
      <c r="T35" s="298"/>
      <c r="U35" s="298"/>
      <c r="V35" s="298"/>
      <c r="W35" s="298"/>
      <c r="X35" s="298"/>
    </row>
  </sheetData>
  <sheetProtection/>
  <mergeCells count="11">
    <mergeCell ref="A2:C2"/>
    <mergeCell ref="A3:C3"/>
    <mergeCell ref="A4:C4"/>
    <mergeCell ref="A7:C7"/>
    <mergeCell ref="A12:B12"/>
    <mergeCell ref="A19:B19"/>
    <mergeCell ref="A23:B23"/>
    <mergeCell ref="A28:B28"/>
    <mergeCell ref="A31:B34"/>
    <mergeCell ref="C31:C34"/>
    <mergeCell ref="A35:B35"/>
  </mergeCells>
  <printOptions/>
  <pageMargins left="0.511811024" right="0.511811024" top="0.787401575" bottom="0.787401575" header="0.31496062" footer="0.31496062"/>
  <pageSetup fitToHeight="1" fitToWidth="1" horizontalDpi="300" verticalDpi="300" orientation="portrait" paperSize="9" scale="3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31"/>
  <sheetViews>
    <sheetView zoomScale="90" zoomScaleNormal="90" zoomScalePageLayoutView="0" workbookViewId="0" topLeftCell="A86">
      <selection activeCell="A1" sqref="A1:M122"/>
    </sheetView>
  </sheetViews>
  <sheetFormatPr defaultColWidth="9.140625" defaultRowHeight="12.75"/>
  <cols>
    <col min="1" max="1" width="13.00390625" style="395" bestFit="1" customWidth="1"/>
    <col min="2" max="2" width="16.7109375" style="395" bestFit="1" customWidth="1"/>
    <col min="3" max="3" width="23.00390625" style="395" bestFit="1" customWidth="1"/>
    <col min="4" max="4" width="94.140625" style="184" customWidth="1"/>
    <col min="5" max="5" width="5.57421875" style="395" bestFit="1" customWidth="1"/>
    <col min="6" max="6" width="15.421875" style="396" hidden="1" customWidth="1"/>
    <col min="7" max="7" width="15.421875" style="396" bestFit="1" customWidth="1"/>
    <col min="8" max="8" width="16.421875" style="236" customWidth="1"/>
    <col min="9" max="9" width="16.28125" style="397" customWidth="1"/>
    <col min="10" max="10" width="14.57421875" style="396" hidden="1" customWidth="1"/>
    <col min="11" max="11" width="1.28515625" style="184" hidden="1" customWidth="1"/>
    <col min="12" max="12" width="8.8515625" style="353" hidden="1" customWidth="1"/>
    <col min="13" max="13" width="22.00390625" style="184" customWidth="1"/>
    <col min="14" max="40" width="9.140625" style="7" customWidth="1"/>
    <col min="41" max="16384" width="9.140625" style="7" customWidth="1"/>
  </cols>
  <sheetData>
    <row r="1" spans="1:13" ht="18">
      <c r="A1" s="467" t="s">
        <v>426</v>
      </c>
      <c r="B1" s="467"/>
      <c r="C1" s="467"/>
      <c r="D1" s="467"/>
      <c r="E1" s="467"/>
      <c r="F1" s="467"/>
      <c r="G1" s="467"/>
      <c r="H1" s="467"/>
      <c r="I1" s="467"/>
      <c r="J1" s="467"/>
      <c r="K1" s="398"/>
      <c r="L1" s="399"/>
      <c r="M1" s="398"/>
    </row>
    <row r="2" spans="1:13" s="176" customFormat="1" ht="13.5">
      <c r="A2" s="400" t="s">
        <v>17</v>
      </c>
      <c r="B2" s="470" t="str">
        <f>'QUADRO RESUMO'!C3</f>
        <v>CENTRO INTEGRADO DE PESQUISAS DE HISTÓRIA E FRONTEIRA</v>
      </c>
      <c r="C2" s="470"/>
      <c r="D2" s="470"/>
      <c r="E2" s="470"/>
      <c r="F2" s="470"/>
      <c r="G2" s="470"/>
      <c r="H2" s="470"/>
      <c r="I2" s="470"/>
      <c r="J2" s="401"/>
      <c r="K2" s="365"/>
      <c r="L2" s="352"/>
      <c r="M2" s="401"/>
    </row>
    <row r="3" spans="1:15" s="176" customFormat="1" ht="24" customHeight="1">
      <c r="A3" s="400" t="s">
        <v>18</v>
      </c>
      <c r="B3" s="468" t="s">
        <v>425</v>
      </c>
      <c r="C3" s="468"/>
      <c r="D3" s="468"/>
      <c r="E3" s="468"/>
      <c r="F3" s="468"/>
      <c r="G3" s="468"/>
      <c r="H3" s="468"/>
      <c r="I3" s="352" t="s">
        <v>167</v>
      </c>
      <c r="J3" s="402">
        <v>0.2465</v>
      </c>
      <c r="K3" s="365"/>
      <c r="L3" s="352" t="s">
        <v>554</v>
      </c>
      <c r="M3" s="403">
        <v>24.65</v>
      </c>
      <c r="O3" s="334">
        <f>'[3]BLOCO DE HISTORIA'!$K$6</f>
        <v>0.425</v>
      </c>
    </row>
    <row r="4" spans="1:13" s="176" customFormat="1" ht="13.5">
      <c r="A4" s="400" t="s">
        <v>19</v>
      </c>
      <c r="B4" s="468" t="str">
        <f>'QUADRO RESUMO'!B5</f>
        <v>CÁCERES-MT</v>
      </c>
      <c r="C4" s="468"/>
      <c r="D4" s="468"/>
      <c r="E4" s="468"/>
      <c r="F4" s="468"/>
      <c r="G4" s="468"/>
      <c r="H4" s="468"/>
      <c r="I4" s="404" t="s">
        <v>427</v>
      </c>
      <c r="J4" s="405">
        <v>44166</v>
      </c>
      <c r="K4" s="365"/>
      <c r="L4" s="404"/>
      <c r="M4" s="406"/>
    </row>
    <row r="5" spans="1:13" s="11" customFormat="1" ht="13.5">
      <c r="A5" s="460"/>
      <c r="B5" s="460"/>
      <c r="C5" s="469"/>
      <c r="D5" s="469"/>
      <c r="E5" s="469"/>
      <c r="F5" s="469"/>
      <c r="G5" s="469"/>
      <c r="H5" s="469"/>
      <c r="I5" s="469"/>
      <c r="J5" s="469"/>
      <c r="K5" s="398"/>
      <c r="L5" s="399"/>
      <c r="M5" s="398"/>
    </row>
    <row r="6" spans="1:13" ht="48" customHeight="1">
      <c r="A6" s="178" t="s">
        <v>37</v>
      </c>
      <c r="B6" s="178" t="s">
        <v>102</v>
      </c>
      <c r="C6" s="178" t="s">
        <v>103</v>
      </c>
      <c r="D6" s="178" t="s">
        <v>55</v>
      </c>
      <c r="E6" s="178" t="s">
        <v>104</v>
      </c>
      <c r="F6" s="355" t="s">
        <v>101</v>
      </c>
      <c r="G6" s="356" t="s">
        <v>101</v>
      </c>
      <c r="H6" s="177" t="s">
        <v>91</v>
      </c>
      <c r="I6" s="177" t="s">
        <v>92</v>
      </c>
      <c r="J6" s="177" t="s">
        <v>15</v>
      </c>
      <c r="K6" s="177" t="s">
        <v>465</v>
      </c>
      <c r="L6" s="179" t="s">
        <v>466</v>
      </c>
      <c r="M6" s="177" t="s">
        <v>467</v>
      </c>
    </row>
    <row r="7" spans="1:13" s="237" customFormat="1" ht="13.5">
      <c r="A7" s="178" t="s">
        <v>373</v>
      </c>
      <c r="B7" s="178"/>
      <c r="C7" s="407"/>
      <c r="D7" s="408" t="s">
        <v>374</v>
      </c>
      <c r="E7" s="408"/>
      <c r="F7" s="408"/>
      <c r="G7" s="408"/>
      <c r="H7" s="408"/>
      <c r="I7" s="407"/>
      <c r="J7" s="409"/>
      <c r="K7" s="409"/>
      <c r="L7" s="179"/>
      <c r="M7" s="409"/>
    </row>
    <row r="8" spans="1:13" ht="13.5">
      <c r="A8" s="36" t="s">
        <v>375</v>
      </c>
      <c r="B8" s="357">
        <v>90778</v>
      </c>
      <c r="C8" s="362" t="s">
        <v>552</v>
      </c>
      <c r="D8" s="410" t="s">
        <v>506</v>
      </c>
      <c r="E8" s="411" t="s">
        <v>60</v>
      </c>
      <c r="F8" s="412">
        <f>2*4*12</f>
        <v>96</v>
      </c>
      <c r="G8" s="412">
        <f>F8*L8</f>
        <v>23.2416</v>
      </c>
      <c r="H8" s="412">
        <v>104.2</v>
      </c>
      <c r="I8" s="366">
        <f>H8*($J$3+1)</f>
        <v>129.8853</v>
      </c>
      <c r="J8" s="366">
        <f>TRUNC((F8*I8),2)</f>
        <v>12468.98</v>
      </c>
      <c r="K8" s="413">
        <v>0.7579</v>
      </c>
      <c r="L8" s="413">
        <f>1-K8</f>
        <v>0.24209999999999998</v>
      </c>
      <c r="M8" s="414">
        <f>L8*J8</f>
        <v>3018.740058</v>
      </c>
    </row>
    <row r="9" spans="1:13" ht="13.5">
      <c r="A9" s="36" t="s">
        <v>376</v>
      </c>
      <c r="B9" s="357">
        <v>90780</v>
      </c>
      <c r="C9" s="362" t="s">
        <v>552</v>
      </c>
      <c r="D9" s="358" t="s">
        <v>377</v>
      </c>
      <c r="E9" s="359" t="s">
        <v>60</v>
      </c>
      <c r="F9" s="360">
        <f>6*4*12</f>
        <v>288</v>
      </c>
      <c r="G9" s="412">
        <f>F9*L9</f>
        <v>69.72479999999999</v>
      </c>
      <c r="H9" s="360">
        <v>32.18</v>
      </c>
      <c r="I9" s="366">
        <f>H9*($J$3+1)</f>
        <v>40.11237</v>
      </c>
      <c r="J9" s="366">
        <f>TRUNC((F9*I9),2)</f>
        <v>11552.36</v>
      </c>
      <c r="K9" s="413">
        <v>0.7579</v>
      </c>
      <c r="L9" s="413">
        <f>1-K9</f>
        <v>0.24209999999999998</v>
      </c>
      <c r="M9" s="414">
        <f>L9*J9</f>
        <v>2796.826356</v>
      </c>
    </row>
    <row r="10" spans="1:13" ht="15.75" customHeight="1">
      <c r="A10" s="460" t="s">
        <v>378</v>
      </c>
      <c r="B10" s="460"/>
      <c r="C10" s="460"/>
      <c r="D10" s="460"/>
      <c r="E10" s="460"/>
      <c r="F10" s="460"/>
      <c r="G10" s="460"/>
      <c r="H10" s="460"/>
      <c r="I10" s="178"/>
      <c r="J10" s="409">
        <f>SUM(J8:J9)</f>
        <v>24021.34</v>
      </c>
      <c r="K10" s="409"/>
      <c r="L10" s="179"/>
      <c r="M10" s="409">
        <f>SUM(M8:M9)</f>
        <v>5815.566414</v>
      </c>
    </row>
    <row r="11" spans="1:13" ht="13.5">
      <c r="A11" s="178"/>
      <c r="B11" s="178"/>
      <c r="C11" s="178"/>
      <c r="D11" s="178"/>
      <c r="E11" s="178"/>
      <c r="F11" s="409"/>
      <c r="G11" s="409"/>
      <c r="H11" s="409"/>
      <c r="I11" s="409"/>
      <c r="J11" s="409"/>
      <c r="K11" s="409"/>
      <c r="L11" s="179"/>
      <c r="M11" s="409"/>
    </row>
    <row r="12" spans="1:13" ht="13.5">
      <c r="A12" s="415" t="s">
        <v>105</v>
      </c>
      <c r="B12" s="416"/>
      <c r="C12" s="416"/>
      <c r="D12" s="416" t="s">
        <v>380</v>
      </c>
      <c r="E12" s="416"/>
      <c r="F12" s="416"/>
      <c r="G12" s="416"/>
      <c r="H12" s="416"/>
      <c r="I12" s="416"/>
      <c r="J12" s="416"/>
      <c r="K12" s="416"/>
      <c r="L12" s="179"/>
      <c r="M12" s="416"/>
    </row>
    <row r="13" spans="1:13" ht="55.5">
      <c r="A13" s="363" t="s">
        <v>39</v>
      </c>
      <c r="B13" s="363">
        <v>91314</v>
      </c>
      <c r="C13" s="362" t="s">
        <v>552</v>
      </c>
      <c r="D13" s="361" t="s">
        <v>560</v>
      </c>
      <c r="E13" s="363" t="s">
        <v>38</v>
      </c>
      <c r="F13" s="364">
        <v>6</v>
      </c>
      <c r="G13" s="364">
        <v>6</v>
      </c>
      <c r="H13" s="364">
        <v>628.9</v>
      </c>
      <c r="I13" s="366">
        <f>H13*($J$3+1)</f>
        <v>783.9238499999999</v>
      </c>
      <c r="J13" s="366">
        <f>TRUNC((F13*I13),2)</f>
        <v>4703.54</v>
      </c>
      <c r="K13" s="417">
        <v>0</v>
      </c>
      <c r="L13" s="399">
        <f>1-K13</f>
        <v>1</v>
      </c>
      <c r="M13" s="366">
        <f>TRUNC((J13*L13),2)</f>
        <v>4703.54</v>
      </c>
    </row>
    <row r="14" spans="1:13" ht="55.5">
      <c r="A14" s="363" t="s">
        <v>40</v>
      </c>
      <c r="B14" s="362">
        <v>91315</v>
      </c>
      <c r="C14" s="362" t="s">
        <v>552</v>
      </c>
      <c r="D14" s="361" t="s">
        <v>559</v>
      </c>
      <c r="E14" s="363" t="s">
        <v>38</v>
      </c>
      <c r="F14" s="364">
        <v>7</v>
      </c>
      <c r="G14" s="364">
        <f>F14*L14</f>
        <v>7</v>
      </c>
      <c r="H14" s="364">
        <v>698.81</v>
      </c>
      <c r="I14" s="366">
        <f>H14*($J$3+1)</f>
        <v>871.066665</v>
      </c>
      <c r="J14" s="366">
        <f>TRUNC((F14*I14),2)</f>
        <v>6097.46</v>
      </c>
      <c r="K14" s="417">
        <v>0</v>
      </c>
      <c r="L14" s="399">
        <f>1-K14</f>
        <v>1</v>
      </c>
      <c r="M14" s="366">
        <f>TRUNC((J14*L14),2)</f>
        <v>6097.46</v>
      </c>
    </row>
    <row r="15" spans="1:13" ht="55.5">
      <c r="A15" s="363" t="s">
        <v>41</v>
      </c>
      <c r="B15" s="363">
        <v>91314</v>
      </c>
      <c r="C15" s="362" t="s">
        <v>552</v>
      </c>
      <c r="D15" s="361" t="s">
        <v>560</v>
      </c>
      <c r="E15" s="363" t="s">
        <v>38</v>
      </c>
      <c r="F15" s="364">
        <v>3</v>
      </c>
      <c r="G15" s="364">
        <f>F15*L15</f>
        <v>3</v>
      </c>
      <c r="H15" s="364">
        <v>628.9</v>
      </c>
      <c r="I15" s="366">
        <f>H15*($J$3+1)</f>
        <v>783.9238499999999</v>
      </c>
      <c r="J15" s="366">
        <f>TRUNC((F15*I15),2)</f>
        <v>2351.77</v>
      </c>
      <c r="K15" s="417">
        <v>0</v>
      </c>
      <c r="L15" s="399">
        <f>1-K15</f>
        <v>1</v>
      </c>
      <c r="M15" s="366">
        <f>TRUNC((J15*L15),2)</f>
        <v>2351.77</v>
      </c>
    </row>
    <row r="16" spans="1:13" ht="27.75">
      <c r="A16" s="363" t="s">
        <v>58</v>
      </c>
      <c r="B16" s="363">
        <v>91341</v>
      </c>
      <c r="C16" s="362" t="s">
        <v>552</v>
      </c>
      <c r="D16" s="361" t="s">
        <v>507</v>
      </c>
      <c r="E16" s="363" t="s">
        <v>363</v>
      </c>
      <c r="F16" s="364">
        <v>5</v>
      </c>
      <c r="G16" s="364">
        <v>5</v>
      </c>
      <c r="H16" s="364">
        <v>896.9</v>
      </c>
      <c r="I16" s="366">
        <f>H16*($J$3+1)</f>
        <v>1117.98585</v>
      </c>
      <c r="J16" s="366">
        <f>TRUNC((F16*I16),2)</f>
        <v>5589.92</v>
      </c>
      <c r="K16" s="417">
        <v>0</v>
      </c>
      <c r="L16" s="399">
        <f>1-K16</f>
        <v>1</v>
      </c>
      <c r="M16" s="366">
        <f>TRUNC((J16*L16),2)</f>
        <v>5589.92</v>
      </c>
    </row>
    <row r="17" spans="1:13" ht="27.75">
      <c r="A17" s="363" t="s">
        <v>59</v>
      </c>
      <c r="B17" s="363">
        <v>72119</v>
      </c>
      <c r="C17" s="362" t="s">
        <v>552</v>
      </c>
      <c r="D17" s="361" t="s">
        <v>381</v>
      </c>
      <c r="E17" s="363" t="s">
        <v>363</v>
      </c>
      <c r="F17" s="364">
        <v>69.45</v>
      </c>
      <c r="G17" s="364">
        <f>F17*L17</f>
        <v>69.45</v>
      </c>
      <c r="H17" s="364">
        <v>269.54</v>
      </c>
      <c r="I17" s="366">
        <f>H17*($J$3+1)</f>
        <v>335.98161</v>
      </c>
      <c r="J17" s="366">
        <f>TRUNC((F17*I17),2)</f>
        <v>23333.92</v>
      </c>
      <c r="K17" s="417">
        <v>0</v>
      </c>
      <c r="L17" s="399">
        <f>1-K17</f>
        <v>1</v>
      </c>
      <c r="M17" s="366">
        <f>TRUNC((J17*L17),2)</f>
        <v>23333.92</v>
      </c>
    </row>
    <row r="18" spans="1:13" ht="13.5">
      <c r="A18" s="460" t="s">
        <v>378</v>
      </c>
      <c r="B18" s="460"/>
      <c r="C18" s="460"/>
      <c r="D18" s="460"/>
      <c r="E18" s="460"/>
      <c r="F18" s="460"/>
      <c r="G18" s="460"/>
      <c r="H18" s="460"/>
      <c r="I18" s="178"/>
      <c r="J18" s="409">
        <f>SUM(J14:J17)</f>
        <v>37373.07</v>
      </c>
      <c r="K18" s="409"/>
      <c r="L18" s="179"/>
      <c r="M18" s="409">
        <f>SUM(M13:M17)</f>
        <v>42076.61</v>
      </c>
    </row>
    <row r="19" spans="1:13" ht="13.5">
      <c r="A19" s="363"/>
      <c r="B19" s="363"/>
      <c r="C19" s="363"/>
      <c r="D19" s="418"/>
      <c r="E19" s="419"/>
      <c r="F19" s="366"/>
      <c r="G19" s="366"/>
      <c r="H19" s="364"/>
      <c r="I19" s="364"/>
      <c r="J19" s="366"/>
      <c r="K19" s="366"/>
      <c r="L19" s="413"/>
      <c r="M19" s="366"/>
    </row>
    <row r="20" spans="1:13" ht="13.5">
      <c r="A20" s="415" t="s">
        <v>61</v>
      </c>
      <c r="B20" s="416"/>
      <c r="C20" s="416"/>
      <c r="D20" s="416" t="s">
        <v>382</v>
      </c>
      <c r="E20" s="416"/>
      <c r="F20" s="416"/>
      <c r="G20" s="416"/>
      <c r="H20" s="416"/>
      <c r="I20" s="416"/>
      <c r="J20" s="416"/>
      <c r="K20" s="416"/>
      <c r="L20" s="179"/>
      <c r="M20" s="416"/>
    </row>
    <row r="21" spans="1:13" ht="42">
      <c r="A21" s="36" t="s">
        <v>22</v>
      </c>
      <c r="B21" s="36">
        <v>99195</v>
      </c>
      <c r="C21" s="362" t="s">
        <v>552</v>
      </c>
      <c r="D21" s="365" t="s">
        <v>508</v>
      </c>
      <c r="E21" s="363" t="s">
        <v>363</v>
      </c>
      <c r="F21" s="366">
        <v>164.57</v>
      </c>
      <c r="G21" s="366">
        <f>F21*L21</f>
        <v>11.569271000000004</v>
      </c>
      <c r="H21" s="364">
        <v>37.36</v>
      </c>
      <c r="I21" s="366">
        <f>H21*($J$3+1)</f>
        <v>46.56924</v>
      </c>
      <c r="J21" s="366">
        <f>TRUNC((F21*I21),2)</f>
        <v>7663.89</v>
      </c>
      <c r="K21" s="399">
        <v>0.9297</v>
      </c>
      <c r="L21" s="399">
        <f>1-K21</f>
        <v>0.07030000000000003</v>
      </c>
      <c r="M21" s="366">
        <f>TRUNC((J21*L21),2)</f>
        <v>538.77</v>
      </c>
    </row>
    <row r="22" spans="1:13" ht="13.5">
      <c r="A22" s="460" t="s">
        <v>378</v>
      </c>
      <c r="B22" s="460"/>
      <c r="C22" s="460"/>
      <c r="D22" s="460"/>
      <c r="E22" s="460"/>
      <c r="F22" s="460"/>
      <c r="G22" s="460"/>
      <c r="H22" s="460"/>
      <c r="I22" s="178"/>
      <c r="J22" s="409">
        <f>SUM(J21:J21)</f>
        <v>7663.89</v>
      </c>
      <c r="K22" s="409"/>
      <c r="L22" s="179"/>
      <c r="M22" s="409">
        <f>SUM(M21:M21)</f>
        <v>538.77</v>
      </c>
    </row>
    <row r="23" spans="1:13" ht="13.5">
      <c r="A23" s="363"/>
      <c r="B23" s="363"/>
      <c r="C23" s="363"/>
      <c r="D23" s="418"/>
      <c r="E23" s="419"/>
      <c r="F23" s="366"/>
      <c r="G23" s="366"/>
      <c r="H23" s="364"/>
      <c r="I23" s="364"/>
      <c r="J23" s="366"/>
      <c r="K23" s="366"/>
      <c r="L23" s="413"/>
      <c r="M23" s="366"/>
    </row>
    <row r="24" spans="1:13" ht="13.5">
      <c r="A24" s="415" t="s">
        <v>124</v>
      </c>
      <c r="B24" s="416"/>
      <c r="C24" s="416"/>
      <c r="D24" s="416" t="s">
        <v>384</v>
      </c>
      <c r="E24" s="416"/>
      <c r="F24" s="416"/>
      <c r="G24" s="416"/>
      <c r="H24" s="416"/>
      <c r="I24" s="416"/>
      <c r="J24" s="416"/>
      <c r="K24" s="416"/>
      <c r="L24" s="179"/>
      <c r="M24" s="416"/>
    </row>
    <row r="25" spans="1:13" ht="27.75">
      <c r="A25" s="363" t="s">
        <v>23</v>
      </c>
      <c r="B25" s="363">
        <v>96486</v>
      </c>
      <c r="C25" s="362" t="s">
        <v>552</v>
      </c>
      <c r="D25" s="420" t="s">
        <v>509</v>
      </c>
      <c r="E25" s="363" t="s">
        <v>363</v>
      </c>
      <c r="F25" s="364">
        <v>574.23</v>
      </c>
      <c r="G25" s="364">
        <f>F25*L25</f>
        <v>287.115</v>
      </c>
      <c r="H25" s="364">
        <v>55.57</v>
      </c>
      <c r="I25" s="366">
        <f>H25*($J$3+1)</f>
        <v>69.268005</v>
      </c>
      <c r="J25" s="366">
        <f>TRUNC((F25*I25),2)</f>
        <v>39775.76</v>
      </c>
      <c r="K25" s="417">
        <v>0.5</v>
      </c>
      <c r="L25" s="399">
        <f>1-K25</f>
        <v>0.5</v>
      </c>
      <c r="M25" s="366">
        <f>TRUNC((J25*L25),2)</f>
        <v>19887.88</v>
      </c>
    </row>
    <row r="26" spans="1:13" ht="27.75">
      <c r="A26" s="36" t="s">
        <v>24</v>
      </c>
      <c r="B26" s="357">
        <v>79627</v>
      </c>
      <c r="C26" s="362" t="s">
        <v>552</v>
      </c>
      <c r="D26" s="365" t="s">
        <v>386</v>
      </c>
      <c r="E26" s="363" t="s">
        <v>363</v>
      </c>
      <c r="F26" s="366">
        <v>8.03</v>
      </c>
      <c r="G26" s="364">
        <f>F26*L26</f>
        <v>8.03</v>
      </c>
      <c r="H26" s="364">
        <v>664.81</v>
      </c>
      <c r="I26" s="366">
        <f>H26*($J$3+1)</f>
        <v>828.6856649999999</v>
      </c>
      <c r="J26" s="366">
        <f>TRUNC((F26*I26),2)</f>
        <v>6654.34</v>
      </c>
      <c r="K26" s="417">
        <v>0</v>
      </c>
      <c r="L26" s="399">
        <f>1-K26</f>
        <v>1</v>
      </c>
      <c r="M26" s="366">
        <f>TRUNC((J26*L26),2)</f>
        <v>6654.34</v>
      </c>
    </row>
    <row r="27" spans="1:13" ht="13.5">
      <c r="A27" s="460" t="s">
        <v>378</v>
      </c>
      <c r="B27" s="460"/>
      <c r="C27" s="460"/>
      <c r="D27" s="460"/>
      <c r="E27" s="460"/>
      <c r="F27" s="460"/>
      <c r="G27" s="460"/>
      <c r="H27" s="460"/>
      <c r="I27" s="178"/>
      <c r="J27" s="409">
        <f>SUM(J25:J26)</f>
        <v>46430.100000000006</v>
      </c>
      <c r="K27" s="409"/>
      <c r="L27" s="179"/>
      <c r="M27" s="409">
        <f>SUM(M25:M26)</f>
        <v>26542.22</v>
      </c>
    </row>
    <row r="28" spans="1:13" ht="13.5">
      <c r="A28" s="363"/>
      <c r="B28" s="363"/>
      <c r="C28" s="363"/>
      <c r="D28" s="418"/>
      <c r="E28" s="419"/>
      <c r="F28" s="366"/>
      <c r="G28" s="366"/>
      <c r="H28" s="364"/>
      <c r="I28" s="364"/>
      <c r="J28" s="366"/>
      <c r="K28" s="366"/>
      <c r="L28" s="413"/>
      <c r="M28" s="366"/>
    </row>
    <row r="29" spans="1:13" ht="13.5">
      <c r="A29" s="415" t="s">
        <v>62</v>
      </c>
      <c r="B29" s="416"/>
      <c r="C29" s="416"/>
      <c r="D29" s="416" t="s">
        <v>387</v>
      </c>
      <c r="E29" s="416"/>
      <c r="F29" s="416"/>
      <c r="G29" s="416"/>
      <c r="H29" s="416"/>
      <c r="I29" s="416"/>
      <c r="J29" s="416"/>
      <c r="K29" s="416"/>
      <c r="L29" s="179"/>
      <c r="M29" s="416"/>
    </row>
    <row r="30" spans="1:13" ht="27.75">
      <c r="A30" s="36" t="s">
        <v>25</v>
      </c>
      <c r="B30" s="36" t="s">
        <v>388</v>
      </c>
      <c r="C30" s="362" t="s">
        <v>552</v>
      </c>
      <c r="D30" s="365" t="s">
        <v>389</v>
      </c>
      <c r="E30" s="363" t="s">
        <v>363</v>
      </c>
      <c r="F30" s="366">
        <v>4.56</v>
      </c>
      <c r="G30" s="366">
        <f>F30*L30</f>
        <v>4.56</v>
      </c>
      <c r="H30" s="364">
        <v>566.85</v>
      </c>
      <c r="I30" s="366">
        <f>H30*($J$3+1)</f>
        <v>706.578525</v>
      </c>
      <c r="J30" s="366">
        <f>TRUNC((F30*I30),2)</f>
        <v>3221.99</v>
      </c>
      <c r="K30" s="417">
        <v>0</v>
      </c>
      <c r="L30" s="399">
        <f>1-K30</f>
        <v>1</v>
      </c>
      <c r="M30" s="366">
        <f>TRUNC((J30*L30),2)</f>
        <v>3221.99</v>
      </c>
    </row>
    <row r="31" spans="1:13" ht="13.5">
      <c r="A31" s="460" t="s">
        <v>378</v>
      </c>
      <c r="B31" s="460"/>
      <c r="C31" s="460"/>
      <c r="D31" s="460"/>
      <c r="E31" s="460"/>
      <c r="F31" s="460"/>
      <c r="G31" s="460"/>
      <c r="H31" s="460"/>
      <c r="I31" s="178"/>
      <c r="J31" s="409">
        <f>SUM(J30:J30)</f>
        <v>3221.99</v>
      </c>
      <c r="K31" s="409">
        <v>0</v>
      </c>
      <c r="L31" s="179">
        <f>SUM(L30:L30)</f>
        <v>1</v>
      </c>
      <c r="M31" s="409">
        <f>SUM(M30:M30)</f>
        <v>3221.99</v>
      </c>
    </row>
    <row r="32" spans="1:13" ht="13.5">
      <c r="A32" s="363"/>
      <c r="B32" s="363"/>
      <c r="C32" s="363"/>
      <c r="D32" s="418"/>
      <c r="E32" s="419"/>
      <c r="F32" s="366"/>
      <c r="G32" s="366"/>
      <c r="H32" s="364"/>
      <c r="I32" s="364"/>
      <c r="J32" s="366"/>
      <c r="K32" s="366"/>
      <c r="L32" s="413"/>
      <c r="M32" s="366"/>
    </row>
    <row r="33" spans="1:13" ht="13.5">
      <c r="A33" s="415" t="s">
        <v>89</v>
      </c>
      <c r="B33" s="416"/>
      <c r="C33" s="416"/>
      <c r="D33" s="416" t="s">
        <v>390</v>
      </c>
      <c r="E33" s="416"/>
      <c r="F33" s="416"/>
      <c r="G33" s="416"/>
      <c r="H33" s="416"/>
      <c r="I33" s="416"/>
      <c r="J33" s="416"/>
      <c r="K33" s="416"/>
      <c r="L33" s="179"/>
      <c r="M33" s="416"/>
    </row>
    <row r="34" spans="1:13" ht="13.5">
      <c r="A34" s="363" t="s">
        <v>26</v>
      </c>
      <c r="B34" s="36">
        <v>88497</v>
      </c>
      <c r="C34" s="362" t="s">
        <v>552</v>
      </c>
      <c r="D34" s="365" t="s">
        <v>510</v>
      </c>
      <c r="E34" s="363" t="s">
        <v>363</v>
      </c>
      <c r="F34" s="366">
        <f>1380.14-F21</f>
        <v>1215.5700000000002</v>
      </c>
      <c r="G34" s="366">
        <f>F34*L34</f>
        <v>1215.5700000000002</v>
      </c>
      <c r="H34" s="364">
        <v>11.34</v>
      </c>
      <c r="I34" s="366">
        <f>H34*($J$3+1)</f>
        <v>14.135309999999999</v>
      </c>
      <c r="J34" s="366">
        <f>TRUNC((F34*I34),2)</f>
        <v>17182.45</v>
      </c>
      <c r="K34" s="417">
        <v>0</v>
      </c>
      <c r="L34" s="399">
        <f>1-K34</f>
        <v>1</v>
      </c>
      <c r="M34" s="366">
        <f>TRUNC((J34*L34),2)</f>
        <v>17182.45</v>
      </c>
    </row>
    <row r="35" spans="1:13" ht="27.75">
      <c r="A35" s="363" t="s">
        <v>43</v>
      </c>
      <c r="B35" s="36">
        <v>95626</v>
      </c>
      <c r="C35" s="362" t="s">
        <v>552</v>
      </c>
      <c r="D35" s="365" t="s">
        <v>511</v>
      </c>
      <c r="E35" s="363" t="s">
        <v>363</v>
      </c>
      <c r="F35" s="366">
        <v>1882.37</v>
      </c>
      <c r="G35" s="366">
        <f>F35*L35</f>
        <v>1215.6345459999998</v>
      </c>
      <c r="H35" s="364">
        <v>12.2</v>
      </c>
      <c r="I35" s="366">
        <f>H35*($J$3+1)</f>
        <v>15.207299999999998</v>
      </c>
      <c r="J35" s="366">
        <f>TRUNC((F35*I35),2)</f>
        <v>28625.76</v>
      </c>
      <c r="K35" s="399">
        <v>0.3542</v>
      </c>
      <c r="L35" s="399">
        <f>1-K35</f>
        <v>0.6457999999999999</v>
      </c>
      <c r="M35" s="366">
        <f>TRUNC((J35*L35),2)</f>
        <v>18486.51</v>
      </c>
    </row>
    <row r="36" spans="1:13" ht="13.5">
      <c r="A36" s="363" t="s">
        <v>44</v>
      </c>
      <c r="B36" s="36" t="s">
        <v>391</v>
      </c>
      <c r="C36" s="362" t="s">
        <v>552</v>
      </c>
      <c r="D36" s="365" t="s">
        <v>392</v>
      </c>
      <c r="E36" s="363" t="s">
        <v>363</v>
      </c>
      <c r="F36" s="366">
        <v>86.46</v>
      </c>
      <c r="G36" s="366">
        <f>F36*L36</f>
        <v>86.46</v>
      </c>
      <c r="H36" s="364">
        <v>15.53</v>
      </c>
      <c r="I36" s="366">
        <f>H36*($J$3+1)</f>
        <v>19.358144999999997</v>
      </c>
      <c r="J36" s="366">
        <f>TRUNC((F36*I36),2)</f>
        <v>1673.7</v>
      </c>
      <c r="K36" s="417">
        <v>0</v>
      </c>
      <c r="L36" s="399">
        <f>1-K36</f>
        <v>1</v>
      </c>
      <c r="M36" s="366">
        <f>TRUNC((J36*L36),2)</f>
        <v>1673.7</v>
      </c>
    </row>
    <row r="37" spans="1:13" ht="13.5">
      <c r="A37" s="460" t="s">
        <v>378</v>
      </c>
      <c r="B37" s="460"/>
      <c r="C37" s="460"/>
      <c r="D37" s="460"/>
      <c r="E37" s="460"/>
      <c r="F37" s="460"/>
      <c r="G37" s="460"/>
      <c r="H37" s="460"/>
      <c r="I37" s="178"/>
      <c r="J37" s="409">
        <f>SUM(J34:J36)</f>
        <v>47481.909999999996</v>
      </c>
      <c r="K37" s="409"/>
      <c r="L37" s="179"/>
      <c r="M37" s="409">
        <f>SUM(M34:M36)</f>
        <v>37342.659999999996</v>
      </c>
    </row>
    <row r="38" spans="1:13" ht="13.5">
      <c r="A38" s="363"/>
      <c r="B38" s="363"/>
      <c r="C38" s="363"/>
      <c r="D38" s="418"/>
      <c r="E38" s="419"/>
      <c r="F38" s="366"/>
      <c r="G38" s="366"/>
      <c r="H38" s="364"/>
      <c r="I38" s="364"/>
      <c r="J38" s="366"/>
      <c r="K38" s="366"/>
      <c r="L38" s="413"/>
      <c r="M38" s="366"/>
    </row>
    <row r="39" spans="1:13" ht="13.5">
      <c r="A39" s="415" t="s">
        <v>150</v>
      </c>
      <c r="B39" s="416"/>
      <c r="C39" s="416"/>
      <c r="D39" s="416" t="s">
        <v>393</v>
      </c>
      <c r="E39" s="416"/>
      <c r="F39" s="416"/>
      <c r="G39" s="416"/>
      <c r="H39" s="416"/>
      <c r="I39" s="416"/>
      <c r="J39" s="416"/>
      <c r="K39" s="416"/>
      <c r="L39" s="179"/>
      <c r="M39" s="416"/>
    </row>
    <row r="40" spans="1:13" ht="27.75">
      <c r="A40" s="363" t="s">
        <v>45</v>
      </c>
      <c r="B40" s="363" t="s">
        <v>65</v>
      </c>
      <c r="C40" s="36" t="s">
        <v>103</v>
      </c>
      <c r="D40" s="361" t="s">
        <v>394</v>
      </c>
      <c r="E40" s="363" t="s">
        <v>42</v>
      </c>
      <c r="F40" s="366">
        <v>8.45</v>
      </c>
      <c r="G40" s="366">
        <f>F40*L40</f>
        <v>8.45</v>
      </c>
      <c r="H40" s="364">
        <f>'COMPOSIÇÃO UNITÁRIA'!G15</f>
        <v>318.96</v>
      </c>
      <c r="I40" s="366">
        <f>H40*($J$3+1)</f>
        <v>397.58363999999995</v>
      </c>
      <c r="J40" s="366">
        <f>TRUNC((F40*I40),2)</f>
        <v>3359.58</v>
      </c>
      <c r="K40" s="417">
        <v>0</v>
      </c>
      <c r="L40" s="399">
        <f>1-K40</f>
        <v>1</v>
      </c>
      <c r="M40" s="366">
        <f>TRUNC((J40*L40),2)</f>
        <v>3359.58</v>
      </c>
    </row>
    <row r="41" spans="1:13" ht="13.5">
      <c r="A41" s="460" t="s">
        <v>378</v>
      </c>
      <c r="B41" s="460"/>
      <c r="C41" s="460"/>
      <c r="D41" s="460"/>
      <c r="E41" s="460"/>
      <c r="F41" s="460"/>
      <c r="G41" s="460"/>
      <c r="H41" s="460"/>
      <c r="I41" s="178"/>
      <c r="J41" s="409">
        <f>SUM(J40)</f>
        <v>3359.58</v>
      </c>
      <c r="K41" s="409">
        <f>SUM(K40)</f>
        <v>0</v>
      </c>
      <c r="L41" s="179">
        <f>SUM(L40)</f>
        <v>1</v>
      </c>
      <c r="M41" s="409">
        <f>SUM(M40)</f>
        <v>3359.58</v>
      </c>
    </row>
    <row r="42" spans="1:13" ht="13.5">
      <c r="A42" s="421"/>
      <c r="B42" s="421"/>
      <c r="C42" s="421"/>
      <c r="D42" s="421"/>
      <c r="E42" s="421"/>
      <c r="F42" s="421"/>
      <c r="G42" s="421"/>
      <c r="H42" s="421"/>
      <c r="I42" s="421"/>
      <c r="J42" s="422"/>
      <c r="K42" s="422"/>
      <c r="L42" s="423"/>
      <c r="M42" s="422"/>
    </row>
    <row r="43" spans="1:13" ht="13.5">
      <c r="A43" s="178" t="s">
        <v>151</v>
      </c>
      <c r="B43" s="178"/>
      <c r="C43" s="424"/>
      <c r="D43" s="425" t="s">
        <v>314</v>
      </c>
      <c r="E43" s="426"/>
      <c r="F43" s="426"/>
      <c r="G43" s="426"/>
      <c r="H43" s="426"/>
      <c r="I43" s="426"/>
      <c r="J43" s="426"/>
      <c r="K43" s="426"/>
      <c r="L43" s="423"/>
      <c r="M43" s="426"/>
    </row>
    <row r="44" spans="1:13" ht="27.75">
      <c r="A44" s="362" t="s">
        <v>46</v>
      </c>
      <c r="B44" s="367">
        <v>100858</v>
      </c>
      <c r="C44" s="362" t="s">
        <v>552</v>
      </c>
      <c r="D44" s="368" t="s">
        <v>553</v>
      </c>
      <c r="E44" s="367" t="s">
        <v>38</v>
      </c>
      <c r="F44" s="369">
        <v>2</v>
      </c>
      <c r="G44" s="369">
        <f aca="true" t="shared" si="0" ref="G44:G49">F44*L44</f>
        <v>2</v>
      </c>
      <c r="H44" s="370">
        <v>419.76</v>
      </c>
      <c r="I44" s="366">
        <f aca="true" t="shared" si="1" ref="I44:I49">H44*($J$3+1)</f>
        <v>523.23084</v>
      </c>
      <c r="J44" s="370">
        <f aca="true" t="shared" si="2" ref="J44:J49">IF(OR(F44&lt;=0)," ",TRUNC((I44*F44),2))</f>
        <v>1046.46</v>
      </c>
      <c r="K44" s="417">
        <v>0</v>
      </c>
      <c r="L44" s="399">
        <f aca="true" t="shared" si="3" ref="L44:L49">1-K44</f>
        <v>1</v>
      </c>
      <c r="M44" s="366">
        <f aca="true" t="shared" si="4" ref="M44:M49">TRUNC((J44*L44),2)</f>
        <v>1046.46</v>
      </c>
    </row>
    <row r="45" spans="1:13" ht="42">
      <c r="A45" s="362" t="s">
        <v>47</v>
      </c>
      <c r="B45" s="367">
        <v>86932</v>
      </c>
      <c r="C45" s="362" t="s">
        <v>552</v>
      </c>
      <c r="D45" s="368" t="s">
        <v>311</v>
      </c>
      <c r="E45" s="367" t="s">
        <v>38</v>
      </c>
      <c r="F45" s="369">
        <v>5</v>
      </c>
      <c r="G45" s="369">
        <f t="shared" si="0"/>
        <v>5</v>
      </c>
      <c r="H45" s="370">
        <v>388.09</v>
      </c>
      <c r="I45" s="366">
        <f t="shared" si="1"/>
        <v>483.75418499999995</v>
      </c>
      <c r="J45" s="370">
        <f t="shared" si="2"/>
        <v>2418.77</v>
      </c>
      <c r="K45" s="417">
        <v>0</v>
      </c>
      <c r="L45" s="399">
        <f t="shared" si="3"/>
        <v>1</v>
      </c>
      <c r="M45" s="366">
        <f t="shared" si="4"/>
        <v>2418.77</v>
      </c>
    </row>
    <row r="46" spans="1:13" ht="27.75">
      <c r="A46" s="362" t="s">
        <v>48</v>
      </c>
      <c r="B46" s="367">
        <v>95471</v>
      </c>
      <c r="C46" s="362" t="s">
        <v>552</v>
      </c>
      <c r="D46" s="368" t="s">
        <v>512</v>
      </c>
      <c r="E46" s="367" t="s">
        <v>38</v>
      </c>
      <c r="F46" s="369">
        <v>1</v>
      </c>
      <c r="G46" s="369">
        <f t="shared" si="0"/>
        <v>1</v>
      </c>
      <c r="H46" s="370">
        <v>610.35</v>
      </c>
      <c r="I46" s="366">
        <f t="shared" si="1"/>
        <v>760.801275</v>
      </c>
      <c r="J46" s="370">
        <f t="shared" si="2"/>
        <v>760.8</v>
      </c>
      <c r="K46" s="417">
        <v>0</v>
      </c>
      <c r="L46" s="399">
        <f t="shared" si="3"/>
        <v>1</v>
      </c>
      <c r="M46" s="366">
        <f t="shared" si="4"/>
        <v>760.8</v>
      </c>
    </row>
    <row r="47" spans="1:13" s="184" customFormat="1" ht="55.5">
      <c r="A47" s="362" t="s">
        <v>379</v>
      </c>
      <c r="B47" s="367" t="s">
        <v>513</v>
      </c>
      <c r="C47" s="362" t="s">
        <v>552</v>
      </c>
      <c r="D47" s="368" t="s">
        <v>561</v>
      </c>
      <c r="E47" s="367" t="s">
        <v>38</v>
      </c>
      <c r="F47" s="369">
        <v>6</v>
      </c>
      <c r="G47" s="369">
        <f t="shared" si="0"/>
        <v>6</v>
      </c>
      <c r="H47" s="370">
        <f>147.82+86.64</f>
        <v>234.45999999999998</v>
      </c>
      <c r="I47" s="366">
        <f t="shared" si="1"/>
        <v>292.25438999999994</v>
      </c>
      <c r="J47" s="370">
        <f t="shared" si="2"/>
        <v>1753.52</v>
      </c>
      <c r="K47" s="417">
        <v>0</v>
      </c>
      <c r="L47" s="399">
        <f t="shared" si="3"/>
        <v>1</v>
      </c>
      <c r="M47" s="366">
        <f t="shared" si="4"/>
        <v>1753.52</v>
      </c>
    </row>
    <row r="48" spans="1:13" ht="28.5" customHeight="1">
      <c r="A48" s="362" t="s">
        <v>468</v>
      </c>
      <c r="B48" s="371">
        <v>86935</v>
      </c>
      <c r="C48" s="362" t="s">
        <v>552</v>
      </c>
      <c r="D48" s="372" t="s">
        <v>312</v>
      </c>
      <c r="E48" s="371" t="s">
        <v>38</v>
      </c>
      <c r="F48" s="369">
        <v>1</v>
      </c>
      <c r="G48" s="369">
        <f t="shared" si="0"/>
        <v>1</v>
      </c>
      <c r="H48" s="370">
        <v>267.73</v>
      </c>
      <c r="I48" s="366">
        <f t="shared" si="1"/>
        <v>333.725445</v>
      </c>
      <c r="J48" s="370">
        <f t="shared" si="2"/>
        <v>333.72</v>
      </c>
      <c r="K48" s="417">
        <v>0</v>
      </c>
      <c r="L48" s="399">
        <f t="shared" si="3"/>
        <v>1</v>
      </c>
      <c r="M48" s="366">
        <f t="shared" si="4"/>
        <v>333.72</v>
      </c>
    </row>
    <row r="49" spans="1:13" ht="27.75">
      <c r="A49" s="362" t="s">
        <v>469</v>
      </c>
      <c r="B49" s="362">
        <v>86909</v>
      </c>
      <c r="C49" s="362" t="s">
        <v>552</v>
      </c>
      <c r="D49" s="368" t="s">
        <v>313</v>
      </c>
      <c r="E49" s="362" t="s">
        <v>38</v>
      </c>
      <c r="F49" s="369">
        <v>1</v>
      </c>
      <c r="G49" s="369">
        <f t="shared" si="0"/>
        <v>1</v>
      </c>
      <c r="H49" s="370">
        <v>102.81</v>
      </c>
      <c r="I49" s="366">
        <f t="shared" si="1"/>
        <v>128.15266499999998</v>
      </c>
      <c r="J49" s="370">
        <f t="shared" si="2"/>
        <v>128.15</v>
      </c>
      <c r="K49" s="417">
        <v>0</v>
      </c>
      <c r="L49" s="399">
        <f t="shared" si="3"/>
        <v>1</v>
      </c>
      <c r="M49" s="366">
        <f t="shared" si="4"/>
        <v>128.15</v>
      </c>
    </row>
    <row r="50" spans="1:13" ht="13.5">
      <c r="A50" s="466" t="s">
        <v>90</v>
      </c>
      <c r="B50" s="466"/>
      <c r="C50" s="466"/>
      <c r="D50" s="466"/>
      <c r="E50" s="466"/>
      <c r="F50" s="466"/>
      <c r="G50" s="466"/>
      <c r="H50" s="466"/>
      <c r="I50" s="466"/>
      <c r="J50" s="422">
        <f>SUM(J44:J49)</f>
        <v>6441.419999999999</v>
      </c>
      <c r="K50" s="422"/>
      <c r="L50" s="423"/>
      <c r="M50" s="422">
        <f>SUM(M44:M49)</f>
        <v>6441.419999999999</v>
      </c>
    </row>
    <row r="51" spans="1:13" ht="13.5">
      <c r="A51" s="421"/>
      <c r="B51" s="421"/>
      <c r="C51" s="421"/>
      <c r="D51" s="421"/>
      <c r="E51" s="421"/>
      <c r="F51" s="421"/>
      <c r="G51" s="421"/>
      <c r="H51" s="421"/>
      <c r="I51" s="421"/>
      <c r="J51" s="422"/>
      <c r="K51" s="422"/>
      <c r="L51" s="423"/>
      <c r="M51" s="422"/>
    </row>
    <row r="52" spans="1:13" ht="13.5">
      <c r="A52" s="427" t="s">
        <v>322</v>
      </c>
      <c r="B52" s="428"/>
      <c r="C52" s="429"/>
      <c r="D52" s="430" t="s">
        <v>159</v>
      </c>
      <c r="E52" s="178"/>
      <c r="F52" s="431"/>
      <c r="G52" s="431"/>
      <c r="H52" s="431"/>
      <c r="I52" s="432"/>
      <c r="J52" s="433"/>
      <c r="K52" s="433"/>
      <c r="L52" s="179"/>
      <c r="M52" s="433"/>
    </row>
    <row r="53" spans="1:13" s="183" customFormat="1" ht="27.75">
      <c r="A53" s="376" t="s">
        <v>323</v>
      </c>
      <c r="B53" s="178" t="s">
        <v>94</v>
      </c>
      <c r="C53" s="377" t="s">
        <v>93</v>
      </c>
      <c r="D53" s="373" t="s">
        <v>131</v>
      </c>
      <c r="E53" s="36" t="s">
        <v>21</v>
      </c>
      <c r="F53" s="374">
        <v>200</v>
      </c>
      <c r="G53" s="374">
        <f>F53*L53</f>
        <v>200</v>
      </c>
      <c r="H53" s="375">
        <f>'COMPOSIÇÃO UNITÁRIA'!G23</f>
        <v>29.9</v>
      </c>
      <c r="I53" s="366">
        <f>H53*($J$3+1)</f>
        <v>37.27034999999999</v>
      </c>
      <c r="J53" s="382">
        <f>IF(OR(F53&lt;=0)," ",TRUNC((I53*F53),2))</f>
        <v>7454.07</v>
      </c>
      <c r="K53" s="417">
        <v>0</v>
      </c>
      <c r="L53" s="399">
        <f>1-K53</f>
        <v>1</v>
      </c>
      <c r="M53" s="366">
        <f>TRUNC((J53*L53),2)</f>
        <v>7454.07</v>
      </c>
    </row>
    <row r="54" spans="1:13" s="183" customFormat="1" ht="27.75">
      <c r="A54" s="376" t="s">
        <v>324</v>
      </c>
      <c r="B54" s="36">
        <v>72262</v>
      </c>
      <c r="C54" s="367" t="s">
        <v>334</v>
      </c>
      <c r="D54" s="373" t="s">
        <v>277</v>
      </c>
      <c r="E54" s="36" t="s">
        <v>106</v>
      </c>
      <c r="F54" s="374">
        <v>20</v>
      </c>
      <c r="G54" s="374">
        <f>F54*L54</f>
        <v>20</v>
      </c>
      <c r="H54" s="375">
        <f>'COMPOSIÇÃO UNITÁRIA'!G31</f>
        <v>4.82</v>
      </c>
      <c r="I54" s="366">
        <f>H54*($J$3+1)</f>
        <v>6.00813</v>
      </c>
      <c r="J54" s="382">
        <f>IF(OR(F54&lt;=0)," ",TRUNC((I54*F54),2))</f>
        <v>120.16</v>
      </c>
      <c r="K54" s="417">
        <v>0</v>
      </c>
      <c r="L54" s="399">
        <f>1-K54</f>
        <v>1</v>
      </c>
      <c r="M54" s="366">
        <f>TRUNC((J54*L54),2)</f>
        <v>120.16</v>
      </c>
    </row>
    <row r="55" spans="1:13" ht="13.5">
      <c r="A55" s="462" t="s">
        <v>0</v>
      </c>
      <c r="B55" s="462"/>
      <c r="C55" s="462"/>
      <c r="D55" s="462"/>
      <c r="E55" s="462"/>
      <c r="F55" s="462"/>
      <c r="G55" s="462"/>
      <c r="H55" s="462"/>
      <c r="I55" s="462"/>
      <c r="J55" s="434">
        <f>SUM(J53:J54)</f>
        <v>7574.23</v>
      </c>
      <c r="K55" s="434"/>
      <c r="L55" s="394"/>
      <c r="M55" s="434">
        <f>SUM(M53:M54)</f>
        <v>7574.23</v>
      </c>
    </row>
    <row r="56" spans="1:13" s="11" customFormat="1" ht="13.5">
      <c r="A56" s="427"/>
      <c r="B56" s="428"/>
      <c r="C56" s="429"/>
      <c r="D56" s="365"/>
      <c r="E56" s="178"/>
      <c r="F56" s="431"/>
      <c r="G56" s="431"/>
      <c r="H56" s="435"/>
      <c r="I56" s="436"/>
      <c r="J56" s="434"/>
      <c r="K56" s="434"/>
      <c r="L56" s="394"/>
      <c r="M56" s="434"/>
    </row>
    <row r="57" spans="1:13" ht="13.5">
      <c r="A57" s="427" t="s">
        <v>153</v>
      </c>
      <c r="B57" s="428"/>
      <c r="C57" s="429"/>
      <c r="D57" s="430" t="s">
        <v>274</v>
      </c>
      <c r="E57" s="178"/>
      <c r="F57" s="431"/>
      <c r="G57" s="431"/>
      <c r="H57" s="431"/>
      <c r="I57" s="432"/>
      <c r="J57" s="433"/>
      <c r="K57" s="433"/>
      <c r="L57" s="179"/>
      <c r="M57" s="433"/>
    </row>
    <row r="58" spans="1:13" ht="27.75">
      <c r="A58" s="376" t="s">
        <v>318</v>
      </c>
      <c r="B58" s="178" t="s">
        <v>94</v>
      </c>
      <c r="C58" s="377" t="s">
        <v>93</v>
      </c>
      <c r="D58" s="378" t="str">
        <f>COMPOSIÇÕES!C161</f>
        <v>FORNECIMENTO E INSTALAÇÃO DE RACK 19 POL X 12U  X 570 MM FECHADO PISO</v>
      </c>
      <c r="E58" s="379" t="s">
        <v>170</v>
      </c>
      <c r="F58" s="380">
        <v>1</v>
      </c>
      <c r="G58" s="380">
        <f>F58*L58</f>
        <v>1</v>
      </c>
      <c r="H58" s="381">
        <f>'COMPOSIÇÃO UNITÁRIA'!G38</f>
        <v>1930.22</v>
      </c>
      <c r="I58" s="366">
        <f aca="true" t="shared" si="5" ref="I58:I85">H58*($J$3+1)</f>
        <v>2406.01923</v>
      </c>
      <c r="J58" s="382">
        <f aca="true" t="shared" si="6" ref="J58:J85">IF(OR(F58&lt;=0)," ",TRUNC((I58*F58),2))</f>
        <v>2406.01</v>
      </c>
      <c r="K58" s="417">
        <v>0</v>
      </c>
      <c r="L58" s="399">
        <f aca="true" t="shared" si="7" ref="L58:L85">1-K58</f>
        <v>1</v>
      </c>
      <c r="M58" s="366">
        <f aca="true" t="shared" si="8" ref="M58:M85">TRUNC((J58*L58),2)</f>
        <v>2406.01</v>
      </c>
    </row>
    <row r="59" spans="1:13" ht="27.75">
      <c r="A59" s="376" t="s">
        <v>319</v>
      </c>
      <c r="B59" s="178" t="s">
        <v>94</v>
      </c>
      <c r="C59" s="377" t="s">
        <v>93</v>
      </c>
      <c r="D59" s="378" t="s">
        <v>239</v>
      </c>
      <c r="E59" s="379" t="s">
        <v>170</v>
      </c>
      <c r="F59" s="380">
        <v>1</v>
      </c>
      <c r="G59" s="380">
        <f aca="true" t="shared" si="9" ref="G59:G85">F59*L59</f>
        <v>1</v>
      </c>
      <c r="H59" s="381">
        <f>'COMPOSIÇÃO UNITÁRIA'!G45</f>
        <v>336.00999999999993</v>
      </c>
      <c r="I59" s="366">
        <f t="shared" si="5"/>
        <v>418.8364649999999</v>
      </c>
      <c r="J59" s="382">
        <f t="shared" si="6"/>
        <v>418.83</v>
      </c>
      <c r="K59" s="417">
        <v>0</v>
      </c>
      <c r="L59" s="399">
        <f t="shared" si="7"/>
        <v>1</v>
      </c>
      <c r="M59" s="366">
        <f t="shared" si="8"/>
        <v>418.83</v>
      </c>
    </row>
    <row r="60" spans="1:13" ht="27.75">
      <c r="A60" s="376" t="s">
        <v>320</v>
      </c>
      <c r="B60" s="178" t="s">
        <v>94</v>
      </c>
      <c r="C60" s="377" t="s">
        <v>93</v>
      </c>
      <c r="D60" s="378" t="s">
        <v>240</v>
      </c>
      <c r="E60" s="379" t="s">
        <v>170</v>
      </c>
      <c r="F60" s="380">
        <v>50</v>
      </c>
      <c r="G60" s="380">
        <f t="shared" si="9"/>
        <v>50</v>
      </c>
      <c r="H60" s="381">
        <f>'COMPOSIÇÃO UNITÁRIA'!G52</f>
        <v>2.45</v>
      </c>
      <c r="I60" s="366">
        <f t="shared" si="5"/>
        <v>3.053925</v>
      </c>
      <c r="J60" s="382">
        <f t="shared" si="6"/>
        <v>152.69</v>
      </c>
      <c r="K60" s="417">
        <v>0</v>
      </c>
      <c r="L60" s="399">
        <f t="shared" si="7"/>
        <v>1</v>
      </c>
      <c r="M60" s="366">
        <f t="shared" si="8"/>
        <v>152.69</v>
      </c>
    </row>
    <row r="61" spans="1:13" ht="27.75">
      <c r="A61" s="376" t="s">
        <v>321</v>
      </c>
      <c r="B61" s="178" t="s">
        <v>94</v>
      </c>
      <c r="C61" s="377" t="s">
        <v>93</v>
      </c>
      <c r="D61" s="378" t="s">
        <v>241</v>
      </c>
      <c r="E61" s="379" t="s">
        <v>42</v>
      </c>
      <c r="F61" s="380">
        <v>4</v>
      </c>
      <c r="G61" s="380">
        <f t="shared" si="9"/>
        <v>4</v>
      </c>
      <c r="H61" s="383">
        <f>'COMPOSIÇÃO UNITÁRIA'!G59</f>
        <v>9.51</v>
      </c>
      <c r="I61" s="366">
        <f t="shared" si="5"/>
        <v>11.854215</v>
      </c>
      <c r="J61" s="382">
        <f t="shared" si="6"/>
        <v>47.41</v>
      </c>
      <c r="K61" s="417">
        <v>0</v>
      </c>
      <c r="L61" s="399">
        <f t="shared" si="7"/>
        <v>1</v>
      </c>
      <c r="M61" s="366">
        <f t="shared" si="8"/>
        <v>47.41</v>
      </c>
    </row>
    <row r="62" spans="1:13" ht="27.75">
      <c r="A62" s="376" t="s">
        <v>325</v>
      </c>
      <c r="B62" s="178" t="s">
        <v>94</v>
      </c>
      <c r="C62" s="377" t="s">
        <v>93</v>
      </c>
      <c r="D62" s="378" t="s">
        <v>242</v>
      </c>
      <c r="E62" s="379" t="s">
        <v>42</v>
      </c>
      <c r="F62" s="380">
        <v>4</v>
      </c>
      <c r="G62" s="380">
        <f t="shared" si="9"/>
        <v>4</v>
      </c>
      <c r="H62" s="381">
        <f>'COMPOSIÇÃO UNITÁRIA'!G66</f>
        <v>29.65</v>
      </c>
      <c r="I62" s="366">
        <f t="shared" si="5"/>
        <v>36.958724999999994</v>
      </c>
      <c r="J62" s="382">
        <f t="shared" si="6"/>
        <v>147.83</v>
      </c>
      <c r="K62" s="417">
        <v>0</v>
      </c>
      <c r="L62" s="399">
        <f t="shared" si="7"/>
        <v>1</v>
      </c>
      <c r="M62" s="366">
        <f t="shared" si="8"/>
        <v>147.83</v>
      </c>
    </row>
    <row r="63" spans="1:13" ht="27.75">
      <c r="A63" s="376" t="s">
        <v>423</v>
      </c>
      <c r="B63" s="178" t="s">
        <v>94</v>
      </c>
      <c r="C63" s="377" t="s">
        <v>93</v>
      </c>
      <c r="D63" s="365" t="s">
        <v>243</v>
      </c>
      <c r="E63" s="379" t="s">
        <v>42</v>
      </c>
      <c r="F63" s="380">
        <v>1</v>
      </c>
      <c r="G63" s="380">
        <f t="shared" si="9"/>
        <v>1</v>
      </c>
      <c r="H63" s="383">
        <f>'COMPOSIÇÃO UNITÁRIA'!G73</f>
        <v>80.86</v>
      </c>
      <c r="I63" s="366">
        <f t="shared" si="5"/>
        <v>100.79199</v>
      </c>
      <c r="J63" s="382">
        <f t="shared" si="6"/>
        <v>100.79</v>
      </c>
      <c r="K63" s="417">
        <v>0</v>
      </c>
      <c r="L63" s="399">
        <f t="shared" si="7"/>
        <v>1</v>
      </c>
      <c r="M63" s="366">
        <f t="shared" si="8"/>
        <v>100.79</v>
      </c>
    </row>
    <row r="64" spans="1:13" ht="27.75">
      <c r="A64" s="376" t="s">
        <v>470</v>
      </c>
      <c r="B64" s="178" t="s">
        <v>94</v>
      </c>
      <c r="C64" s="377" t="s">
        <v>93</v>
      </c>
      <c r="D64" s="365" t="s">
        <v>244</v>
      </c>
      <c r="E64" s="379" t="s">
        <v>170</v>
      </c>
      <c r="F64" s="380">
        <v>1</v>
      </c>
      <c r="G64" s="380">
        <f t="shared" si="9"/>
        <v>1</v>
      </c>
      <c r="H64" s="383">
        <f>'COMPOSIÇÃO UNITÁRIA'!G80</f>
        <v>128.29</v>
      </c>
      <c r="I64" s="366">
        <f t="shared" si="5"/>
        <v>159.91348499999998</v>
      </c>
      <c r="J64" s="382">
        <f t="shared" si="6"/>
        <v>159.91</v>
      </c>
      <c r="K64" s="417">
        <v>0</v>
      </c>
      <c r="L64" s="399">
        <f t="shared" si="7"/>
        <v>1</v>
      </c>
      <c r="M64" s="366">
        <f t="shared" si="8"/>
        <v>159.91</v>
      </c>
    </row>
    <row r="65" spans="1:13" ht="27.75">
      <c r="A65" s="376" t="s">
        <v>471</v>
      </c>
      <c r="B65" s="178" t="s">
        <v>94</v>
      </c>
      <c r="C65" s="377" t="s">
        <v>93</v>
      </c>
      <c r="D65" s="365" t="s">
        <v>245</v>
      </c>
      <c r="E65" s="379" t="s">
        <v>170</v>
      </c>
      <c r="F65" s="380">
        <v>1</v>
      </c>
      <c r="G65" s="380">
        <f t="shared" si="9"/>
        <v>1</v>
      </c>
      <c r="H65" s="383">
        <f>'COMPOSIÇÃO UNITÁRIA'!G87</f>
        <v>106.57000000000001</v>
      </c>
      <c r="I65" s="366">
        <f t="shared" si="5"/>
        <v>132.839505</v>
      </c>
      <c r="J65" s="382">
        <f t="shared" si="6"/>
        <v>132.83</v>
      </c>
      <c r="K65" s="417">
        <v>0</v>
      </c>
      <c r="L65" s="399">
        <f t="shared" si="7"/>
        <v>1</v>
      </c>
      <c r="M65" s="366">
        <f t="shared" si="8"/>
        <v>132.83</v>
      </c>
    </row>
    <row r="66" spans="1:13" ht="27.75">
      <c r="A66" s="376" t="s">
        <v>472</v>
      </c>
      <c r="B66" s="178" t="s">
        <v>94</v>
      </c>
      <c r="C66" s="377" t="s">
        <v>93</v>
      </c>
      <c r="D66" s="365" t="s">
        <v>246</v>
      </c>
      <c r="E66" s="379" t="s">
        <v>170</v>
      </c>
      <c r="F66" s="380">
        <v>50</v>
      </c>
      <c r="G66" s="380">
        <f t="shared" si="9"/>
        <v>50</v>
      </c>
      <c r="H66" s="383">
        <f>'COMPOSIÇÃO UNITÁRIA'!G94</f>
        <v>32.440000000000005</v>
      </c>
      <c r="I66" s="366">
        <f t="shared" si="5"/>
        <v>40.436460000000004</v>
      </c>
      <c r="J66" s="382">
        <f t="shared" si="6"/>
        <v>2021.82</v>
      </c>
      <c r="K66" s="417">
        <v>0</v>
      </c>
      <c r="L66" s="399">
        <f t="shared" si="7"/>
        <v>1</v>
      </c>
      <c r="M66" s="366">
        <f t="shared" si="8"/>
        <v>2021.82</v>
      </c>
    </row>
    <row r="67" spans="1:13" ht="27.75">
      <c r="A67" s="376" t="s">
        <v>473</v>
      </c>
      <c r="B67" s="178" t="s">
        <v>94</v>
      </c>
      <c r="C67" s="377" t="s">
        <v>93</v>
      </c>
      <c r="D67" s="365" t="str">
        <f>COMPOSIÇÕES!C229</f>
        <v>FORNECIMENTO E INSTALAÇÃO DE SWITCH 16P 10/100 S/GER</v>
      </c>
      <c r="E67" s="379" t="s">
        <v>170</v>
      </c>
      <c r="F67" s="380">
        <v>2</v>
      </c>
      <c r="G67" s="380">
        <f t="shared" si="9"/>
        <v>2</v>
      </c>
      <c r="H67" s="383">
        <f>'COMPOSIÇÃO UNITÁRIA'!G101</f>
        <v>2156.2599999999998</v>
      </c>
      <c r="I67" s="366">
        <f t="shared" si="5"/>
        <v>2687.77809</v>
      </c>
      <c r="J67" s="382">
        <f t="shared" si="6"/>
        <v>5375.55</v>
      </c>
      <c r="K67" s="417">
        <v>0</v>
      </c>
      <c r="L67" s="399">
        <f t="shared" si="7"/>
        <v>1</v>
      </c>
      <c r="M67" s="366">
        <f t="shared" si="8"/>
        <v>5375.55</v>
      </c>
    </row>
    <row r="68" spans="1:13" ht="27.75">
      <c r="A68" s="376" t="s">
        <v>474</v>
      </c>
      <c r="B68" s="178" t="s">
        <v>94</v>
      </c>
      <c r="C68" s="377" t="s">
        <v>93</v>
      </c>
      <c r="D68" s="365" t="s">
        <v>247</v>
      </c>
      <c r="E68" s="379" t="s">
        <v>170</v>
      </c>
      <c r="F68" s="380">
        <v>1154</v>
      </c>
      <c r="G68" s="380">
        <f t="shared" si="9"/>
        <v>1154</v>
      </c>
      <c r="H68" s="383">
        <f>'COMPOSIÇÃO UNITÁRIA'!G108</f>
        <v>3.96</v>
      </c>
      <c r="I68" s="366">
        <f t="shared" si="5"/>
        <v>4.93614</v>
      </c>
      <c r="J68" s="382">
        <f t="shared" si="6"/>
        <v>5696.3</v>
      </c>
      <c r="K68" s="417">
        <v>0</v>
      </c>
      <c r="L68" s="399">
        <f t="shared" si="7"/>
        <v>1</v>
      </c>
      <c r="M68" s="366">
        <f t="shared" si="8"/>
        <v>5696.3</v>
      </c>
    </row>
    <row r="69" spans="1:13" ht="27.75">
      <c r="A69" s="376" t="s">
        <v>475</v>
      </c>
      <c r="B69" s="178" t="s">
        <v>94</v>
      </c>
      <c r="C69" s="377" t="s">
        <v>93</v>
      </c>
      <c r="D69" s="365" t="str">
        <f>COMPOSIÇÕES!C244</f>
        <v>FORNECIMENTO E INSTALAÇÃO DE PATCH PAINEL 24P CAT. 6</v>
      </c>
      <c r="E69" s="379" t="s">
        <v>170</v>
      </c>
      <c r="F69" s="380">
        <v>5</v>
      </c>
      <c r="G69" s="380">
        <f t="shared" si="9"/>
        <v>5</v>
      </c>
      <c r="H69" s="383">
        <f>'COMPOSIÇÃO UNITÁRIA'!G115</f>
        <v>522.82</v>
      </c>
      <c r="I69" s="366">
        <f t="shared" si="5"/>
        <v>651.6951300000001</v>
      </c>
      <c r="J69" s="382">
        <f t="shared" si="6"/>
        <v>3258.47</v>
      </c>
      <c r="K69" s="417">
        <v>0</v>
      </c>
      <c r="L69" s="399">
        <f t="shared" si="7"/>
        <v>1</v>
      </c>
      <c r="M69" s="366">
        <f t="shared" si="8"/>
        <v>3258.47</v>
      </c>
    </row>
    <row r="70" spans="1:13" ht="27.75">
      <c r="A70" s="376" t="s">
        <v>476</v>
      </c>
      <c r="B70" s="178" t="s">
        <v>94</v>
      </c>
      <c r="C70" s="377" t="s">
        <v>93</v>
      </c>
      <c r="D70" s="365" t="s">
        <v>248</v>
      </c>
      <c r="E70" s="379" t="s">
        <v>170</v>
      </c>
      <c r="F70" s="380">
        <v>50</v>
      </c>
      <c r="G70" s="380">
        <f t="shared" si="9"/>
        <v>50</v>
      </c>
      <c r="H70" s="383">
        <f>'COMPOSIÇÃO UNITÁRIA'!G122</f>
        <v>12.79</v>
      </c>
      <c r="I70" s="366">
        <f t="shared" si="5"/>
        <v>15.942734999999999</v>
      </c>
      <c r="J70" s="382">
        <f t="shared" si="6"/>
        <v>797.13</v>
      </c>
      <c r="K70" s="417">
        <v>0</v>
      </c>
      <c r="L70" s="399">
        <f t="shared" si="7"/>
        <v>1</v>
      </c>
      <c r="M70" s="366">
        <f t="shared" si="8"/>
        <v>797.13</v>
      </c>
    </row>
    <row r="71" spans="1:13" ht="27.75">
      <c r="A71" s="376" t="s">
        <v>477</v>
      </c>
      <c r="B71" s="178" t="s">
        <v>94</v>
      </c>
      <c r="C71" s="377" t="s">
        <v>93</v>
      </c>
      <c r="D71" s="365" t="s">
        <v>249</v>
      </c>
      <c r="E71" s="379" t="s">
        <v>237</v>
      </c>
      <c r="F71" s="380">
        <v>50</v>
      </c>
      <c r="G71" s="380">
        <f t="shared" si="9"/>
        <v>50</v>
      </c>
      <c r="H71" s="383">
        <f>'COMPOSIÇÃO UNITÁRIA'!G129</f>
        <v>91.74000000000001</v>
      </c>
      <c r="I71" s="366">
        <f t="shared" si="5"/>
        <v>114.35391</v>
      </c>
      <c r="J71" s="382">
        <f t="shared" si="6"/>
        <v>5717.69</v>
      </c>
      <c r="K71" s="417">
        <v>0</v>
      </c>
      <c r="L71" s="399">
        <f t="shared" si="7"/>
        <v>1</v>
      </c>
      <c r="M71" s="366">
        <f t="shared" si="8"/>
        <v>5717.69</v>
      </c>
    </row>
    <row r="72" spans="1:13" ht="13.5">
      <c r="A72" s="376" t="s">
        <v>478</v>
      </c>
      <c r="B72" s="379">
        <v>83387</v>
      </c>
      <c r="C72" s="362" t="s">
        <v>552</v>
      </c>
      <c r="D72" s="384" t="s">
        <v>238</v>
      </c>
      <c r="E72" s="379" t="s">
        <v>170</v>
      </c>
      <c r="F72" s="380">
        <v>25</v>
      </c>
      <c r="G72" s="380">
        <f t="shared" si="9"/>
        <v>25</v>
      </c>
      <c r="H72" s="381">
        <f>'COMPOSIÇÃO UNITÁRIA'!G136</f>
        <v>5.04</v>
      </c>
      <c r="I72" s="366">
        <f t="shared" si="5"/>
        <v>6.28236</v>
      </c>
      <c r="J72" s="382">
        <f t="shared" si="6"/>
        <v>157.05</v>
      </c>
      <c r="K72" s="417">
        <v>0</v>
      </c>
      <c r="L72" s="399">
        <f t="shared" si="7"/>
        <v>1</v>
      </c>
      <c r="M72" s="366">
        <f t="shared" si="8"/>
        <v>157.05</v>
      </c>
    </row>
    <row r="73" spans="1:13" ht="27.75">
      <c r="A73" s="376" t="s">
        <v>479</v>
      </c>
      <c r="B73" s="178" t="s">
        <v>94</v>
      </c>
      <c r="C73" s="377" t="s">
        <v>93</v>
      </c>
      <c r="D73" s="373" t="str">
        <f>COMPOSIÇÕES!C267</f>
        <v>FORNECIMENTO E INSTALAÇÃO DE DISTRIBUIDOR INTERNO OPTICO MM COMPLETO 24FO</v>
      </c>
      <c r="E73" s="36" t="s">
        <v>106</v>
      </c>
      <c r="F73" s="385">
        <v>1</v>
      </c>
      <c r="G73" s="380">
        <f t="shared" si="9"/>
        <v>1</v>
      </c>
      <c r="H73" s="375">
        <f>'COMPOSIÇÃO UNITÁRIA'!G150</f>
        <v>1081.61</v>
      </c>
      <c r="I73" s="366">
        <f t="shared" si="5"/>
        <v>1348.2268649999999</v>
      </c>
      <c r="J73" s="382">
        <f t="shared" si="6"/>
        <v>1348.22</v>
      </c>
      <c r="K73" s="417">
        <v>0</v>
      </c>
      <c r="L73" s="399">
        <f t="shared" si="7"/>
        <v>1</v>
      </c>
      <c r="M73" s="366">
        <f t="shared" si="8"/>
        <v>1348.22</v>
      </c>
    </row>
    <row r="74" spans="1:13" ht="27.75">
      <c r="A74" s="376" t="s">
        <v>480</v>
      </c>
      <c r="B74" s="178" t="s">
        <v>94</v>
      </c>
      <c r="C74" s="377" t="s">
        <v>93</v>
      </c>
      <c r="D74" s="373" t="str">
        <f>COMPOSIÇÕES!C275</f>
        <v>Fornecimento e Instalação de ANILHA DE INDENTIFICAÇÃO NUMÉRICA ,(0 A 9) - PACOTE COM 100 UNIDADES</v>
      </c>
      <c r="E74" s="36" t="s">
        <v>38</v>
      </c>
      <c r="F74" s="385">
        <v>2</v>
      </c>
      <c r="G74" s="380">
        <f t="shared" si="9"/>
        <v>2</v>
      </c>
      <c r="H74" s="375">
        <f>'COMPOSIÇÃO UNITÁRIA'!G156</f>
        <v>51.11</v>
      </c>
      <c r="I74" s="366">
        <f t="shared" si="5"/>
        <v>63.708614999999995</v>
      </c>
      <c r="J74" s="382">
        <f t="shared" si="6"/>
        <v>127.41</v>
      </c>
      <c r="K74" s="417">
        <v>0</v>
      </c>
      <c r="L74" s="399">
        <f t="shared" si="7"/>
        <v>1</v>
      </c>
      <c r="M74" s="366">
        <f t="shared" si="8"/>
        <v>127.41</v>
      </c>
    </row>
    <row r="75" spans="1:13" ht="27.75">
      <c r="A75" s="376" t="s">
        <v>481</v>
      </c>
      <c r="B75" s="178" t="s">
        <v>94</v>
      </c>
      <c r="C75" s="377" t="s">
        <v>93</v>
      </c>
      <c r="D75" s="373" t="str">
        <f>COMPOSIÇÕES!C282</f>
        <v>FORNECIMENTO E INSTALAÇÃO DE FITA ROTULADORA 8 METROS, 12 MM LARGURA</v>
      </c>
      <c r="E75" s="36" t="s">
        <v>38</v>
      </c>
      <c r="F75" s="385">
        <v>1</v>
      </c>
      <c r="G75" s="380">
        <f t="shared" si="9"/>
        <v>1</v>
      </c>
      <c r="H75" s="375">
        <f>'COMPOSIÇÃO UNITÁRIA'!G163</f>
        <v>41.36</v>
      </c>
      <c r="I75" s="366">
        <f t="shared" si="5"/>
        <v>51.55524</v>
      </c>
      <c r="J75" s="382">
        <f t="shared" si="6"/>
        <v>51.55</v>
      </c>
      <c r="K75" s="417">
        <v>0</v>
      </c>
      <c r="L75" s="399">
        <f t="shared" si="7"/>
        <v>1</v>
      </c>
      <c r="M75" s="366">
        <f t="shared" si="8"/>
        <v>51.55</v>
      </c>
    </row>
    <row r="76" spans="1:13" ht="27.75">
      <c r="A76" s="376" t="s">
        <v>482</v>
      </c>
      <c r="B76" s="178" t="s">
        <v>94</v>
      </c>
      <c r="C76" s="377" t="s">
        <v>93</v>
      </c>
      <c r="D76" s="373" t="str">
        <f>COMPOSIÇÕES!C290</f>
        <v>FORNECIMENTO E INSTALAÇÃO DE ELETROCALHA PERFURADA 200X100X3M CHAPA 16 (INCLUSO TAMPA)</v>
      </c>
      <c r="E76" s="36" t="s">
        <v>106</v>
      </c>
      <c r="F76" s="385">
        <v>15</v>
      </c>
      <c r="G76" s="380">
        <f t="shared" si="9"/>
        <v>15</v>
      </c>
      <c r="H76" s="375">
        <f>'COMPOSIÇÃO UNITÁRIA'!G170</f>
        <v>156.12999999999997</v>
      </c>
      <c r="I76" s="366">
        <f t="shared" si="5"/>
        <v>194.61604499999996</v>
      </c>
      <c r="J76" s="382">
        <f t="shared" si="6"/>
        <v>2919.24</v>
      </c>
      <c r="K76" s="417">
        <v>0</v>
      </c>
      <c r="L76" s="399">
        <f t="shared" si="7"/>
        <v>1</v>
      </c>
      <c r="M76" s="366">
        <f t="shared" si="8"/>
        <v>2919.24</v>
      </c>
    </row>
    <row r="77" spans="1:13" ht="27.75">
      <c r="A77" s="376" t="s">
        <v>483</v>
      </c>
      <c r="B77" s="178" t="s">
        <v>94</v>
      </c>
      <c r="C77" s="377" t="s">
        <v>93</v>
      </c>
      <c r="D77" s="373" t="str">
        <f>COMPOSIÇÕES!C298</f>
        <v>FORNECIMENTO E INSTALAÇÃO DE EMENDA INTERNA U 200X100 MM</v>
      </c>
      <c r="E77" s="36" t="s">
        <v>106</v>
      </c>
      <c r="F77" s="385">
        <v>36</v>
      </c>
      <c r="G77" s="380">
        <f t="shared" si="9"/>
        <v>36</v>
      </c>
      <c r="H77" s="375">
        <f>'COMPOSIÇÃO UNITÁRIA'!G177</f>
        <v>15.75</v>
      </c>
      <c r="I77" s="366">
        <f t="shared" si="5"/>
        <v>19.632375</v>
      </c>
      <c r="J77" s="382">
        <f t="shared" si="6"/>
        <v>706.76</v>
      </c>
      <c r="K77" s="417">
        <v>0</v>
      </c>
      <c r="L77" s="399">
        <f t="shared" si="7"/>
        <v>1</v>
      </c>
      <c r="M77" s="366">
        <f t="shared" si="8"/>
        <v>706.76</v>
      </c>
    </row>
    <row r="78" spans="1:13" ht="27.75">
      <c r="A78" s="376" t="s">
        <v>484</v>
      </c>
      <c r="B78" s="178" t="s">
        <v>94</v>
      </c>
      <c r="C78" s="377" t="s">
        <v>93</v>
      </c>
      <c r="D78" s="373" t="str">
        <f>COMPOSIÇÕES!C306</f>
        <v>FORNECIMENTO E INSTALAÇÃO DE  TERMINAL DE FECHAMENTO 200X100 MM</v>
      </c>
      <c r="E78" s="36" t="s">
        <v>106</v>
      </c>
      <c r="F78" s="385">
        <v>2</v>
      </c>
      <c r="G78" s="380">
        <f t="shared" si="9"/>
        <v>2</v>
      </c>
      <c r="H78" s="375">
        <f>'COMPOSIÇÃO UNITÁRIA'!G184</f>
        <v>27.35</v>
      </c>
      <c r="I78" s="366">
        <f t="shared" si="5"/>
        <v>34.091775</v>
      </c>
      <c r="J78" s="382">
        <f t="shared" si="6"/>
        <v>68.18</v>
      </c>
      <c r="K78" s="417">
        <v>0</v>
      </c>
      <c r="L78" s="399">
        <f t="shared" si="7"/>
        <v>1</v>
      </c>
      <c r="M78" s="366">
        <f t="shared" si="8"/>
        <v>68.18</v>
      </c>
    </row>
    <row r="79" spans="1:13" ht="27.75">
      <c r="A79" s="376" t="s">
        <v>485</v>
      </c>
      <c r="B79" s="178" t="s">
        <v>94</v>
      </c>
      <c r="C79" s="377" t="s">
        <v>93</v>
      </c>
      <c r="D79" s="373" t="str">
        <f>COMPOSIÇÕES!C349</f>
        <v>FORNECIMENTO E INSTALAÇÃO DE ELETROCALHA PERFURADA 100X50X3M CHAPA 16 (INCLUSO TAMPA)</v>
      </c>
      <c r="E79" s="36" t="s">
        <v>106</v>
      </c>
      <c r="F79" s="385">
        <v>5</v>
      </c>
      <c r="G79" s="380">
        <f t="shared" si="9"/>
        <v>5</v>
      </c>
      <c r="H79" s="375">
        <f>'COMPOSIÇÃO UNITÁRIA'!G191</f>
        <v>160.92000000000002</v>
      </c>
      <c r="I79" s="366">
        <f t="shared" si="5"/>
        <v>200.58678</v>
      </c>
      <c r="J79" s="382">
        <f t="shared" si="6"/>
        <v>1002.93</v>
      </c>
      <c r="K79" s="417">
        <v>0</v>
      </c>
      <c r="L79" s="399">
        <f t="shared" si="7"/>
        <v>1</v>
      </c>
      <c r="M79" s="366">
        <f t="shared" si="8"/>
        <v>1002.93</v>
      </c>
    </row>
    <row r="80" spans="1:13" ht="27.75">
      <c r="A80" s="376" t="s">
        <v>486</v>
      </c>
      <c r="B80" s="178" t="s">
        <v>94</v>
      </c>
      <c r="C80" s="377" t="s">
        <v>93</v>
      </c>
      <c r="D80" s="373" t="str">
        <f>COMPOSIÇÕES!C357</f>
        <v>FORNECIMENTO E INSTALAÇÃO DE EMENDA INTERNA U 100X50 MM</v>
      </c>
      <c r="E80" s="36" t="s">
        <v>106</v>
      </c>
      <c r="F80" s="385">
        <v>20</v>
      </c>
      <c r="G80" s="380">
        <f t="shared" si="9"/>
        <v>20</v>
      </c>
      <c r="H80" s="375">
        <f>'COMPOSIÇÃO UNITÁRIA'!G198</f>
        <v>12.74</v>
      </c>
      <c r="I80" s="366">
        <f t="shared" si="5"/>
        <v>15.88041</v>
      </c>
      <c r="J80" s="382">
        <f t="shared" si="6"/>
        <v>317.6</v>
      </c>
      <c r="K80" s="417">
        <v>0</v>
      </c>
      <c r="L80" s="399">
        <f t="shared" si="7"/>
        <v>1</v>
      </c>
      <c r="M80" s="366">
        <f t="shared" si="8"/>
        <v>317.6</v>
      </c>
    </row>
    <row r="81" spans="1:13" ht="27.75">
      <c r="A81" s="376" t="s">
        <v>487</v>
      </c>
      <c r="B81" s="178" t="s">
        <v>94</v>
      </c>
      <c r="C81" s="377" t="s">
        <v>93</v>
      </c>
      <c r="D81" s="373" t="str">
        <f>COMPOSIÇÕES!C314</f>
        <v>FORNECIMENTO E INSTALAÇÃO DE  CHUMBADOR PARAFUSO 3/8"X 2 1/2"</v>
      </c>
      <c r="E81" s="36" t="s">
        <v>106</v>
      </c>
      <c r="F81" s="385">
        <v>23</v>
      </c>
      <c r="G81" s="380">
        <f t="shared" si="9"/>
        <v>23</v>
      </c>
      <c r="H81" s="375">
        <f>'COMPOSIÇÃO UNITÁRIA'!G205</f>
        <v>8.950000000000001</v>
      </c>
      <c r="I81" s="366">
        <f t="shared" si="5"/>
        <v>11.156175000000001</v>
      </c>
      <c r="J81" s="382">
        <f t="shared" si="6"/>
        <v>256.59</v>
      </c>
      <c r="K81" s="417">
        <v>0</v>
      </c>
      <c r="L81" s="399">
        <f t="shared" si="7"/>
        <v>1</v>
      </c>
      <c r="M81" s="366">
        <f t="shared" si="8"/>
        <v>256.59</v>
      </c>
    </row>
    <row r="82" spans="1:13" ht="27.75">
      <c r="A82" s="376" t="s">
        <v>488</v>
      </c>
      <c r="B82" s="178" t="s">
        <v>94</v>
      </c>
      <c r="C82" s="377" t="s">
        <v>93</v>
      </c>
      <c r="D82" s="373" t="str">
        <f>COMPOSIÇÕES!C322</f>
        <v>FORNECIMENTO E INSTALAÇÃO DE PARAFUSO TIRANTE 3/8 X 3 M</v>
      </c>
      <c r="E82" s="36" t="s">
        <v>106</v>
      </c>
      <c r="F82" s="385">
        <v>23</v>
      </c>
      <c r="G82" s="380">
        <f t="shared" si="9"/>
        <v>23</v>
      </c>
      <c r="H82" s="375">
        <f>'COMPOSIÇÃO UNITÁRIA'!G212</f>
        <v>29.229999999999997</v>
      </c>
      <c r="I82" s="366">
        <f t="shared" si="5"/>
        <v>36.43519499999999</v>
      </c>
      <c r="J82" s="382">
        <f t="shared" si="6"/>
        <v>838</v>
      </c>
      <c r="K82" s="417">
        <v>0</v>
      </c>
      <c r="L82" s="399">
        <f t="shared" si="7"/>
        <v>1</v>
      </c>
      <c r="M82" s="366">
        <f t="shared" si="8"/>
        <v>838</v>
      </c>
    </row>
    <row r="83" spans="1:13" ht="27.75">
      <c r="A83" s="376" t="s">
        <v>489</v>
      </c>
      <c r="B83" s="178" t="s">
        <v>94</v>
      </c>
      <c r="C83" s="377" t="s">
        <v>93</v>
      </c>
      <c r="D83" s="373" t="str">
        <f>COMPOSIÇÕES!C330</f>
        <v>FORNECIMENTO E INSTALAÇÃO DE PARAFUSO LENTILHA 1/4"X 1/2 COM TRAVA + ARRUELA LISA 1/4 ZINCADA + PORCA SEXTAVADA DE 1/4"ZINCADA</v>
      </c>
      <c r="E83" s="36" t="s">
        <v>106</v>
      </c>
      <c r="F83" s="385">
        <v>80</v>
      </c>
      <c r="G83" s="380">
        <f t="shared" si="9"/>
        <v>80</v>
      </c>
      <c r="H83" s="375">
        <f>'COMPOSIÇÃO UNITÁRIA'!G219</f>
        <v>3.7600000000000002</v>
      </c>
      <c r="I83" s="366">
        <f t="shared" si="5"/>
        <v>4.68684</v>
      </c>
      <c r="J83" s="382">
        <f t="shared" si="6"/>
        <v>374.94</v>
      </c>
      <c r="K83" s="417">
        <v>0</v>
      </c>
      <c r="L83" s="399">
        <f t="shared" si="7"/>
        <v>1</v>
      </c>
      <c r="M83" s="366">
        <f t="shared" si="8"/>
        <v>374.94</v>
      </c>
    </row>
    <row r="84" spans="1:13" ht="27.75">
      <c r="A84" s="376" t="s">
        <v>490</v>
      </c>
      <c r="B84" s="178" t="s">
        <v>94</v>
      </c>
      <c r="C84" s="377" t="s">
        <v>93</v>
      </c>
      <c r="D84" s="373" t="str">
        <f>COMPOSIÇÕES!C340</f>
        <v>FORNECIMENTO E INSTALAÇÃO DE CURVA HORIZONTAL DE 90° 200 MM (INCLUSO TAMPA)</v>
      </c>
      <c r="E84" s="36" t="s">
        <v>106</v>
      </c>
      <c r="F84" s="385">
        <v>2</v>
      </c>
      <c r="G84" s="380">
        <f t="shared" si="9"/>
        <v>2</v>
      </c>
      <c r="H84" s="375">
        <f>'COMPOSIÇÃO UNITÁRIA'!G226</f>
        <v>96.67999999999999</v>
      </c>
      <c r="I84" s="366">
        <f t="shared" si="5"/>
        <v>120.51161999999998</v>
      </c>
      <c r="J84" s="382">
        <f t="shared" si="6"/>
        <v>241.02</v>
      </c>
      <c r="K84" s="417">
        <v>0</v>
      </c>
      <c r="L84" s="399">
        <f t="shared" si="7"/>
        <v>1</v>
      </c>
      <c r="M84" s="366">
        <f t="shared" si="8"/>
        <v>241.02</v>
      </c>
    </row>
    <row r="85" spans="1:13" ht="27.75">
      <c r="A85" s="376" t="s">
        <v>491</v>
      </c>
      <c r="B85" s="178" t="s">
        <v>94</v>
      </c>
      <c r="C85" s="377" t="s">
        <v>93</v>
      </c>
      <c r="D85" s="373" t="str">
        <f>COMPOSIÇÕES!C478</f>
        <v>FORNECIMENTO E INSTALAÇÃO DE ELETRODUTO 2" TIPO KANAFLEX OU EQUIVALENTE</v>
      </c>
      <c r="E85" s="36" t="s">
        <v>106</v>
      </c>
      <c r="F85" s="385">
        <v>22</v>
      </c>
      <c r="G85" s="380">
        <f t="shared" si="9"/>
        <v>22</v>
      </c>
      <c r="H85" s="375">
        <f>'COMPOSIÇÃO UNITÁRIA'!G233</f>
        <v>17.689999999999998</v>
      </c>
      <c r="I85" s="366">
        <f t="shared" si="5"/>
        <v>22.050584999999995</v>
      </c>
      <c r="J85" s="382">
        <f t="shared" si="6"/>
        <v>485.11</v>
      </c>
      <c r="K85" s="417">
        <v>0</v>
      </c>
      <c r="L85" s="399">
        <f t="shared" si="7"/>
        <v>1</v>
      </c>
      <c r="M85" s="366">
        <f t="shared" si="8"/>
        <v>485.11</v>
      </c>
    </row>
    <row r="86" spans="1:13" ht="13.5">
      <c r="A86" s="462" t="s">
        <v>0</v>
      </c>
      <c r="B86" s="462"/>
      <c r="C86" s="462"/>
      <c r="D86" s="462"/>
      <c r="E86" s="462"/>
      <c r="F86" s="462"/>
      <c r="G86" s="462"/>
      <c r="H86" s="462"/>
      <c r="I86" s="462"/>
      <c r="J86" s="434">
        <f>SUM(J58:J85)</f>
        <v>35327.85999999999</v>
      </c>
      <c r="K86" s="434"/>
      <c r="L86" s="394"/>
      <c r="M86" s="434">
        <f>SUM(M58:M85)</f>
        <v>35327.85999999999</v>
      </c>
    </row>
    <row r="87" spans="1:13" s="11" customFormat="1" ht="13.5">
      <c r="A87" s="427"/>
      <c r="B87" s="428"/>
      <c r="C87" s="429"/>
      <c r="D87" s="365"/>
      <c r="E87" s="178"/>
      <c r="F87" s="431"/>
      <c r="G87" s="431"/>
      <c r="H87" s="435"/>
      <c r="I87" s="436"/>
      <c r="J87" s="434"/>
      <c r="K87" s="434"/>
      <c r="L87" s="394"/>
      <c r="M87" s="434"/>
    </row>
    <row r="88" spans="1:13" ht="13.5">
      <c r="A88" s="427" t="s">
        <v>154</v>
      </c>
      <c r="B88" s="428"/>
      <c r="C88" s="429"/>
      <c r="D88" s="430" t="s">
        <v>117</v>
      </c>
      <c r="E88" s="178"/>
      <c r="F88" s="437"/>
      <c r="G88" s="437"/>
      <c r="H88" s="437"/>
      <c r="I88" s="438"/>
      <c r="J88" s="439"/>
      <c r="K88" s="439"/>
      <c r="L88" s="179"/>
      <c r="M88" s="439"/>
    </row>
    <row r="89" spans="1:40" ht="27.75">
      <c r="A89" s="376" t="s">
        <v>49</v>
      </c>
      <c r="B89" s="36" t="s">
        <v>120</v>
      </c>
      <c r="C89" s="36" t="s">
        <v>334</v>
      </c>
      <c r="D89" s="386" t="s">
        <v>121</v>
      </c>
      <c r="E89" s="36" t="s">
        <v>106</v>
      </c>
      <c r="F89" s="385">
        <v>118</v>
      </c>
      <c r="G89" s="385">
        <f>F89*L89</f>
        <v>118</v>
      </c>
      <c r="H89" s="375">
        <f>'COMPOSIÇÃO UNITÁRIA'!G240</f>
        <v>115.38</v>
      </c>
      <c r="I89" s="366">
        <f>H89*($J$3+1)</f>
        <v>143.82117</v>
      </c>
      <c r="J89" s="382">
        <f>IF(OR(F89&lt;=0)," ",TRUNC((I89*F89),2))</f>
        <v>16970.89</v>
      </c>
      <c r="K89" s="417">
        <v>0</v>
      </c>
      <c r="L89" s="399">
        <f>1-K89</f>
        <v>1</v>
      </c>
      <c r="M89" s="366">
        <f>TRUNC((J89*L89),2)</f>
        <v>16970.89</v>
      </c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</row>
    <row r="90" spans="1:13" s="184" customFormat="1" ht="27.75">
      <c r="A90" s="376" t="s">
        <v>50</v>
      </c>
      <c r="B90" s="36">
        <v>83399</v>
      </c>
      <c r="C90" s="36" t="s">
        <v>334</v>
      </c>
      <c r="D90" s="386" t="s">
        <v>332</v>
      </c>
      <c r="E90" s="36" t="s">
        <v>106</v>
      </c>
      <c r="F90" s="385">
        <v>4</v>
      </c>
      <c r="G90" s="385">
        <f>F90*L90</f>
        <v>4</v>
      </c>
      <c r="H90" s="375">
        <f>'COMPOSIÇÃO UNITÁRIA'!G247</f>
        <v>34.88</v>
      </c>
      <c r="I90" s="366">
        <f>H90*($J$3+1)</f>
        <v>43.477920000000005</v>
      </c>
      <c r="J90" s="382">
        <f>IF(OR(F90&lt;=0)," ",TRUNC((I90*F90),2))</f>
        <v>173.91</v>
      </c>
      <c r="K90" s="417">
        <v>0</v>
      </c>
      <c r="L90" s="399">
        <f>1-K90</f>
        <v>1</v>
      </c>
      <c r="M90" s="366">
        <f>TRUNC((J90*L90),2)</f>
        <v>173.91</v>
      </c>
    </row>
    <row r="91" spans="1:40" ht="27.75">
      <c r="A91" s="376" t="s">
        <v>51</v>
      </c>
      <c r="B91" s="178" t="s">
        <v>94</v>
      </c>
      <c r="C91" s="377" t="s">
        <v>93</v>
      </c>
      <c r="D91" s="386" t="str">
        <f>COMPOSIÇÕES!C470</f>
        <v>FORNECIMENTO E INSTALAÇÃO DE ARANDELA C/ BASE EM CHAPA DE ACO PINTADA E GLOBO DE VIDRO LEITOSO - BOCA 10CM DIAM 20CM</v>
      </c>
      <c r="E91" s="36" t="s">
        <v>106</v>
      </c>
      <c r="F91" s="385">
        <v>23</v>
      </c>
      <c r="G91" s="385">
        <f>F91*L91</f>
        <v>23</v>
      </c>
      <c r="H91" s="375">
        <f>'COMPOSIÇÃO UNITÁRIA'!G254</f>
        <v>131.9</v>
      </c>
      <c r="I91" s="366">
        <f>H91*($J$3+1)</f>
        <v>164.41335</v>
      </c>
      <c r="J91" s="382">
        <f>IF(OR(F91&lt;=0)," ",TRUNC((I91*F91),2))</f>
        <v>3781.5</v>
      </c>
      <c r="K91" s="417">
        <v>0</v>
      </c>
      <c r="L91" s="399">
        <f>1-K91</f>
        <v>1</v>
      </c>
      <c r="M91" s="366">
        <f>TRUNC((J91*L91),2)</f>
        <v>3781.5</v>
      </c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</row>
    <row r="92" spans="1:40" ht="27.75">
      <c r="A92" s="376" t="s">
        <v>52</v>
      </c>
      <c r="B92" s="178" t="s">
        <v>94</v>
      </c>
      <c r="C92" s="377" t="s">
        <v>93</v>
      </c>
      <c r="D92" s="386" t="str">
        <f>COMPOSIÇÕES!C494</f>
        <v>FORNECIMENTO E INSTALAÇÃO DE POSTO TRANSFORMADOR DISTRIBUICAO 112,5 KVA TRIFASICO 60HZ CLASSE 15KV IMERSO EM ÓLEO MINERAL</v>
      </c>
      <c r="E92" s="36" t="s">
        <v>106</v>
      </c>
      <c r="F92" s="385">
        <v>1</v>
      </c>
      <c r="G92" s="385">
        <f>F92*L92</f>
        <v>1</v>
      </c>
      <c r="H92" s="375">
        <f>'COMPOSIÇÃO UNITÁRIA'!G292</f>
        <v>26416.23</v>
      </c>
      <c r="I92" s="366">
        <f>H92*($J$3+1)</f>
        <v>32927.830695</v>
      </c>
      <c r="J92" s="382">
        <f>IF(OR(F92&lt;=0)," ",TRUNC((I92*F92),2))</f>
        <v>32927.83</v>
      </c>
      <c r="K92" s="417">
        <v>0</v>
      </c>
      <c r="L92" s="399">
        <f>1-K92</f>
        <v>1</v>
      </c>
      <c r="M92" s="366">
        <f>TRUNC((J92*L92),2)</f>
        <v>32927.83</v>
      </c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</row>
    <row r="93" spans="1:40" ht="13.5">
      <c r="A93" s="462" t="s">
        <v>0</v>
      </c>
      <c r="B93" s="462"/>
      <c r="C93" s="462"/>
      <c r="D93" s="462"/>
      <c r="E93" s="462"/>
      <c r="F93" s="462"/>
      <c r="G93" s="462"/>
      <c r="H93" s="462"/>
      <c r="I93" s="462"/>
      <c r="J93" s="434">
        <f>SUM(J89:J92)</f>
        <v>53854.130000000005</v>
      </c>
      <c r="K93" s="434"/>
      <c r="L93" s="394"/>
      <c r="M93" s="434">
        <f>SUM(M89:M92)</f>
        <v>53854.130000000005</v>
      </c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</row>
    <row r="94" spans="1:40" ht="13.5">
      <c r="A94" s="376"/>
      <c r="B94" s="428"/>
      <c r="C94" s="429"/>
      <c r="D94" s="365"/>
      <c r="E94" s="178"/>
      <c r="F94" s="431"/>
      <c r="G94" s="431"/>
      <c r="H94" s="435"/>
      <c r="I94" s="436"/>
      <c r="J94" s="434"/>
      <c r="K94" s="434"/>
      <c r="L94" s="394"/>
      <c r="M94" s="434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</row>
    <row r="95" spans="1:40" ht="13.5">
      <c r="A95" s="440" t="s">
        <v>155</v>
      </c>
      <c r="B95" s="440"/>
      <c r="C95" s="440"/>
      <c r="D95" s="441" t="s">
        <v>158</v>
      </c>
      <c r="E95" s="442"/>
      <c r="F95" s="442"/>
      <c r="G95" s="442"/>
      <c r="H95" s="442"/>
      <c r="I95" s="443"/>
      <c r="J95" s="382"/>
      <c r="K95" s="382"/>
      <c r="L95" s="399"/>
      <c r="M95" s="382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</row>
    <row r="96" spans="1:40" ht="27.75">
      <c r="A96" s="376" t="s">
        <v>53</v>
      </c>
      <c r="B96" s="36">
        <v>101908</v>
      </c>
      <c r="C96" s="362" t="s">
        <v>552</v>
      </c>
      <c r="D96" s="444" t="s">
        <v>556</v>
      </c>
      <c r="E96" s="445" t="s">
        <v>54</v>
      </c>
      <c r="F96" s="387">
        <v>3</v>
      </c>
      <c r="G96" s="387">
        <f>F96*L96</f>
        <v>3</v>
      </c>
      <c r="H96" s="388">
        <v>152.88</v>
      </c>
      <c r="I96" s="366">
        <f>H96*($J$3+1)</f>
        <v>190.56491999999997</v>
      </c>
      <c r="J96" s="382">
        <f aca="true" t="shared" si="10" ref="J96:J113">IF(OR(F96&lt;=0)," ",TRUNC((I96*F96),2))</f>
        <v>571.69</v>
      </c>
      <c r="K96" s="417">
        <v>0</v>
      </c>
      <c r="L96" s="399">
        <f aca="true" t="shared" si="11" ref="L96:L113">1-K96</f>
        <v>1</v>
      </c>
      <c r="M96" s="366">
        <f aca="true" t="shared" si="12" ref="M96:M113">TRUNC((J96*L96),2)</f>
        <v>571.69</v>
      </c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</row>
    <row r="97" spans="1:40" ht="27.75">
      <c r="A97" s="376" t="s">
        <v>171</v>
      </c>
      <c r="B97" s="36">
        <v>101905</v>
      </c>
      <c r="C97" s="362" t="s">
        <v>552</v>
      </c>
      <c r="D97" s="444" t="s">
        <v>557</v>
      </c>
      <c r="E97" s="445" t="s">
        <v>54</v>
      </c>
      <c r="F97" s="387">
        <v>3</v>
      </c>
      <c r="G97" s="387">
        <f aca="true" t="shared" si="13" ref="G97:G113">F97*L97</f>
        <v>3</v>
      </c>
      <c r="H97" s="388">
        <v>157.56</v>
      </c>
      <c r="I97" s="366">
        <f aca="true" t="shared" si="14" ref="I97:I113">H97*($J$3+1)</f>
        <v>196.39854</v>
      </c>
      <c r="J97" s="382">
        <f t="shared" si="10"/>
        <v>589.19</v>
      </c>
      <c r="K97" s="417">
        <v>0</v>
      </c>
      <c r="L97" s="399">
        <f t="shared" si="11"/>
        <v>1</v>
      </c>
      <c r="M97" s="366">
        <f t="shared" si="12"/>
        <v>589.19</v>
      </c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</row>
    <row r="98" spans="1:40" ht="27.75">
      <c r="A98" s="376" t="s">
        <v>156</v>
      </c>
      <c r="B98" s="36" t="s">
        <v>65</v>
      </c>
      <c r="C98" s="377" t="s">
        <v>93</v>
      </c>
      <c r="D98" s="444" t="str">
        <f>COMPOSIÇÕES!C534</f>
        <v>Fornecimento e Instalação de Placa de Sinalização Indicativa do tipo de Extintor Manual de Pó Quimico </v>
      </c>
      <c r="E98" s="445" t="s">
        <v>54</v>
      </c>
      <c r="F98" s="387">
        <v>3</v>
      </c>
      <c r="G98" s="387">
        <f t="shared" si="13"/>
        <v>3</v>
      </c>
      <c r="H98" s="388">
        <f>'COMPOSIÇÃO UNITÁRIA'!G312</f>
        <v>21.84</v>
      </c>
      <c r="I98" s="366">
        <f t="shared" si="14"/>
        <v>27.22356</v>
      </c>
      <c r="J98" s="382">
        <f t="shared" si="10"/>
        <v>81.67</v>
      </c>
      <c r="K98" s="417">
        <v>0</v>
      </c>
      <c r="L98" s="399">
        <f t="shared" si="11"/>
        <v>1</v>
      </c>
      <c r="M98" s="366">
        <f t="shared" si="12"/>
        <v>81.67</v>
      </c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</row>
    <row r="99" spans="1:40" ht="27.75">
      <c r="A99" s="376" t="s">
        <v>157</v>
      </c>
      <c r="B99" s="36" t="s">
        <v>65</v>
      </c>
      <c r="C99" s="377" t="s">
        <v>93</v>
      </c>
      <c r="D99" s="444" t="str">
        <f>COMPOSIÇÕES!C541</f>
        <v>Fornecimento e Instalação de Placa de Sinalização Indicativa do tipo de Extintor Manual de Água - 20 x 30 cm</v>
      </c>
      <c r="E99" s="445" t="s">
        <v>54</v>
      </c>
      <c r="F99" s="387">
        <v>3</v>
      </c>
      <c r="G99" s="387">
        <f t="shared" si="13"/>
        <v>3</v>
      </c>
      <c r="H99" s="388">
        <f>'COMPOSIÇÃO UNITÁRIA'!G318</f>
        <v>21.84</v>
      </c>
      <c r="I99" s="366">
        <f t="shared" si="14"/>
        <v>27.22356</v>
      </c>
      <c r="J99" s="382">
        <f t="shared" si="10"/>
        <v>81.67</v>
      </c>
      <c r="K99" s="417">
        <v>0</v>
      </c>
      <c r="L99" s="399">
        <f t="shared" si="11"/>
        <v>1</v>
      </c>
      <c r="M99" s="366">
        <f t="shared" si="12"/>
        <v>81.67</v>
      </c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</row>
    <row r="100" spans="1:40" ht="27.75">
      <c r="A100" s="376" t="s">
        <v>492</v>
      </c>
      <c r="B100" s="36" t="s">
        <v>65</v>
      </c>
      <c r="C100" s="377" t="s">
        <v>93</v>
      </c>
      <c r="D100" s="444" t="s">
        <v>148</v>
      </c>
      <c r="E100" s="445" t="s">
        <v>363</v>
      </c>
      <c r="F100" s="387">
        <v>6</v>
      </c>
      <c r="G100" s="387">
        <f t="shared" si="13"/>
        <v>6</v>
      </c>
      <c r="H100" s="388">
        <f>'COMPOSIÇÃO UNITÁRIA'!G325</f>
        <v>45.160000000000004</v>
      </c>
      <c r="I100" s="366">
        <f t="shared" si="14"/>
        <v>56.291940000000004</v>
      </c>
      <c r="J100" s="382">
        <f t="shared" si="10"/>
        <v>337.75</v>
      </c>
      <c r="K100" s="417">
        <v>0</v>
      </c>
      <c r="L100" s="399">
        <f t="shared" si="11"/>
        <v>1</v>
      </c>
      <c r="M100" s="366">
        <f t="shared" si="12"/>
        <v>337.75</v>
      </c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</row>
    <row r="101" spans="1:40" ht="27.75">
      <c r="A101" s="376" t="s">
        <v>493</v>
      </c>
      <c r="B101" s="36" t="s">
        <v>65</v>
      </c>
      <c r="C101" s="377" t="s">
        <v>93</v>
      </c>
      <c r="D101" s="444" t="str">
        <f>COMPOSIÇÕES!C548</f>
        <v>Fornecimento e Instalação de Placa de Saida Fotoluminescente 20 x 30 cm  +  Placa seta reta fotoluminescente 5x 25 cm</v>
      </c>
      <c r="E101" s="445" t="s">
        <v>54</v>
      </c>
      <c r="F101" s="387">
        <v>6</v>
      </c>
      <c r="G101" s="387">
        <f t="shared" si="13"/>
        <v>6</v>
      </c>
      <c r="H101" s="388">
        <f>'COMPOSIÇÃO UNITÁRIA'!G331</f>
        <v>21.84</v>
      </c>
      <c r="I101" s="366">
        <f t="shared" si="14"/>
        <v>27.22356</v>
      </c>
      <c r="J101" s="382">
        <f t="shared" si="10"/>
        <v>163.34</v>
      </c>
      <c r="K101" s="417">
        <v>0</v>
      </c>
      <c r="L101" s="399">
        <f t="shared" si="11"/>
        <v>1</v>
      </c>
      <c r="M101" s="366">
        <f t="shared" si="12"/>
        <v>163.34</v>
      </c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</row>
    <row r="102" spans="1:40" ht="27.75">
      <c r="A102" s="376" t="s">
        <v>494</v>
      </c>
      <c r="B102" s="36" t="s">
        <v>65</v>
      </c>
      <c r="C102" s="377" t="s">
        <v>93</v>
      </c>
      <c r="D102" s="444" t="s">
        <v>149</v>
      </c>
      <c r="E102" s="445" t="s">
        <v>20</v>
      </c>
      <c r="F102" s="387">
        <v>6</v>
      </c>
      <c r="G102" s="387">
        <f t="shared" si="13"/>
        <v>6</v>
      </c>
      <c r="H102" s="388">
        <f>'COMPOSIÇÃO UNITÁRIA'!G338</f>
        <v>56.17</v>
      </c>
      <c r="I102" s="366">
        <f t="shared" si="14"/>
        <v>70.015905</v>
      </c>
      <c r="J102" s="382">
        <f t="shared" si="10"/>
        <v>420.09</v>
      </c>
      <c r="K102" s="417">
        <v>0</v>
      </c>
      <c r="L102" s="399">
        <f t="shared" si="11"/>
        <v>1</v>
      </c>
      <c r="M102" s="366">
        <f t="shared" si="12"/>
        <v>420.09</v>
      </c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</row>
    <row r="103" spans="1:40" ht="27.75">
      <c r="A103" s="376" t="s">
        <v>495</v>
      </c>
      <c r="B103" s="389">
        <v>91855</v>
      </c>
      <c r="C103" s="362" t="s">
        <v>552</v>
      </c>
      <c r="D103" s="390" t="s">
        <v>558</v>
      </c>
      <c r="E103" s="391" t="s">
        <v>21</v>
      </c>
      <c r="F103" s="387">
        <v>150</v>
      </c>
      <c r="G103" s="387">
        <f t="shared" si="13"/>
        <v>150</v>
      </c>
      <c r="H103" s="388">
        <v>6.96</v>
      </c>
      <c r="I103" s="366">
        <f t="shared" si="14"/>
        <v>8.67564</v>
      </c>
      <c r="J103" s="382">
        <f t="shared" si="10"/>
        <v>1301.34</v>
      </c>
      <c r="K103" s="417">
        <v>0</v>
      </c>
      <c r="L103" s="399">
        <f t="shared" si="11"/>
        <v>1</v>
      </c>
      <c r="M103" s="366">
        <f t="shared" si="12"/>
        <v>1301.34</v>
      </c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</row>
    <row r="104" spans="1:40" ht="27.75">
      <c r="A104" s="376" t="s">
        <v>496</v>
      </c>
      <c r="B104" s="36" t="s">
        <v>65</v>
      </c>
      <c r="C104" s="377" t="s">
        <v>93</v>
      </c>
      <c r="D104" s="386" t="s">
        <v>119</v>
      </c>
      <c r="E104" s="36" t="s">
        <v>106</v>
      </c>
      <c r="F104" s="387">
        <v>1</v>
      </c>
      <c r="G104" s="387">
        <f t="shared" si="13"/>
        <v>1</v>
      </c>
      <c r="H104" s="388">
        <f>'COMPOSIÇÃO UNITÁRIA'!G352</f>
        <v>57.07</v>
      </c>
      <c r="I104" s="366">
        <f t="shared" si="14"/>
        <v>71.137755</v>
      </c>
      <c r="J104" s="382">
        <f t="shared" si="10"/>
        <v>71.13</v>
      </c>
      <c r="K104" s="417">
        <v>0</v>
      </c>
      <c r="L104" s="399">
        <f t="shared" si="11"/>
        <v>1</v>
      </c>
      <c r="M104" s="366">
        <f t="shared" si="12"/>
        <v>71.13</v>
      </c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</row>
    <row r="105" spans="1:40" ht="27.75">
      <c r="A105" s="376" t="s">
        <v>497</v>
      </c>
      <c r="B105" s="36" t="s">
        <v>65</v>
      </c>
      <c r="C105" s="377" t="s">
        <v>93</v>
      </c>
      <c r="D105" s="444" t="str">
        <f>COMPOSIÇÕES!C556</f>
        <v>Fornecimento e instalação de Acionador Manual para alarme de emergência Tipo Quebra vidro</v>
      </c>
      <c r="E105" s="445" t="s">
        <v>38</v>
      </c>
      <c r="F105" s="387">
        <v>2</v>
      </c>
      <c r="G105" s="387">
        <f t="shared" si="13"/>
        <v>2</v>
      </c>
      <c r="H105" s="388">
        <f>'COMPOSIÇÃO UNITÁRIA'!G359</f>
        <v>41.220000000000006</v>
      </c>
      <c r="I105" s="366">
        <f t="shared" si="14"/>
        <v>51.38073000000001</v>
      </c>
      <c r="J105" s="382">
        <f t="shared" si="10"/>
        <v>102.76</v>
      </c>
      <c r="K105" s="417">
        <v>0</v>
      </c>
      <c r="L105" s="399">
        <f t="shared" si="11"/>
        <v>1</v>
      </c>
      <c r="M105" s="366">
        <f t="shared" si="12"/>
        <v>102.76</v>
      </c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</row>
    <row r="106" spans="1:40" ht="27.75">
      <c r="A106" s="376" t="s">
        <v>498</v>
      </c>
      <c r="B106" s="36" t="s">
        <v>65</v>
      </c>
      <c r="C106" s="377" t="s">
        <v>93</v>
      </c>
      <c r="D106" s="444" t="str">
        <f>COMPOSIÇÕES!C564</f>
        <v>Fornecimento e instalação de Sirene Eletronica Bitonal 12 V RM</v>
      </c>
      <c r="E106" s="445" t="s">
        <v>38</v>
      </c>
      <c r="F106" s="387">
        <v>2</v>
      </c>
      <c r="G106" s="387">
        <f t="shared" si="13"/>
        <v>2</v>
      </c>
      <c r="H106" s="388">
        <f>'COMPOSIÇÃO UNITÁRIA'!G366</f>
        <v>35.720000000000006</v>
      </c>
      <c r="I106" s="366">
        <f t="shared" si="14"/>
        <v>44.524980000000006</v>
      </c>
      <c r="J106" s="382">
        <f t="shared" si="10"/>
        <v>89.04</v>
      </c>
      <c r="K106" s="417">
        <v>0</v>
      </c>
      <c r="L106" s="399">
        <f t="shared" si="11"/>
        <v>1</v>
      </c>
      <c r="M106" s="366">
        <f t="shared" si="12"/>
        <v>89.04</v>
      </c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</row>
    <row r="107" spans="1:40" ht="27.75">
      <c r="A107" s="376" t="s">
        <v>499</v>
      </c>
      <c r="B107" s="36" t="s">
        <v>65</v>
      </c>
      <c r="C107" s="377" t="s">
        <v>93</v>
      </c>
      <c r="D107" s="444" t="str">
        <f>COMPOSIÇÕES!C572</f>
        <v>Fornecimento e instalação de Central de Alarme sem Bateria IPA 06 a 12 pontos</v>
      </c>
      <c r="E107" s="445" t="s">
        <v>38</v>
      </c>
      <c r="F107" s="387">
        <v>1</v>
      </c>
      <c r="G107" s="387">
        <f t="shared" si="13"/>
        <v>1</v>
      </c>
      <c r="H107" s="388">
        <f>'COMPOSIÇÃO UNITÁRIA'!G373</f>
        <v>552.11</v>
      </c>
      <c r="I107" s="366">
        <f t="shared" si="14"/>
        <v>688.205115</v>
      </c>
      <c r="J107" s="382">
        <f t="shared" si="10"/>
        <v>688.2</v>
      </c>
      <c r="K107" s="417">
        <v>0</v>
      </c>
      <c r="L107" s="399">
        <f t="shared" si="11"/>
        <v>1</v>
      </c>
      <c r="M107" s="366">
        <f t="shared" si="12"/>
        <v>688.2</v>
      </c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</row>
    <row r="108" spans="1:40" ht="27.75">
      <c r="A108" s="376" t="s">
        <v>500</v>
      </c>
      <c r="B108" s="36" t="s">
        <v>65</v>
      </c>
      <c r="C108" s="377" t="s">
        <v>93</v>
      </c>
      <c r="D108" s="444" t="str">
        <f>COMPOSIÇÕES!C580</f>
        <v>Fornecimento e instalação de Bateria Selada para Central de Alarme e Detecção 12 V / 1,3 A</v>
      </c>
      <c r="E108" s="445" t="s">
        <v>38</v>
      </c>
      <c r="F108" s="387">
        <v>1</v>
      </c>
      <c r="G108" s="387">
        <f t="shared" si="13"/>
        <v>1</v>
      </c>
      <c r="H108" s="388">
        <f>'COMPOSIÇÃO UNITÁRIA'!G380</f>
        <v>71.38</v>
      </c>
      <c r="I108" s="366">
        <f t="shared" si="14"/>
        <v>88.97516999999999</v>
      </c>
      <c r="J108" s="382">
        <f t="shared" si="10"/>
        <v>88.97</v>
      </c>
      <c r="K108" s="417">
        <v>0</v>
      </c>
      <c r="L108" s="399">
        <f t="shared" si="11"/>
        <v>1</v>
      </c>
      <c r="M108" s="366">
        <f t="shared" si="12"/>
        <v>88.97</v>
      </c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</row>
    <row r="109" spans="1:40" ht="27.75">
      <c r="A109" s="376" t="s">
        <v>501</v>
      </c>
      <c r="B109" s="36" t="s">
        <v>65</v>
      </c>
      <c r="C109" s="377" t="s">
        <v>93</v>
      </c>
      <c r="D109" s="444" t="s">
        <v>166</v>
      </c>
      <c r="E109" s="445" t="s">
        <v>42</v>
      </c>
      <c r="F109" s="387">
        <v>450</v>
      </c>
      <c r="G109" s="387">
        <f t="shared" si="13"/>
        <v>450</v>
      </c>
      <c r="H109" s="388">
        <f>'COMPOSIÇÃO UNITÁRIA'!G387</f>
        <v>4.4</v>
      </c>
      <c r="I109" s="366">
        <f t="shared" si="14"/>
        <v>5.4846</v>
      </c>
      <c r="J109" s="382">
        <f t="shared" si="10"/>
        <v>2468.07</v>
      </c>
      <c r="K109" s="417">
        <v>0</v>
      </c>
      <c r="L109" s="399">
        <f t="shared" si="11"/>
        <v>1</v>
      </c>
      <c r="M109" s="366">
        <f t="shared" si="12"/>
        <v>2468.07</v>
      </c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</row>
    <row r="110" spans="1:40" ht="27.75">
      <c r="A110" s="376" t="s">
        <v>502</v>
      </c>
      <c r="B110" s="36" t="s">
        <v>65</v>
      </c>
      <c r="C110" s="377" t="s">
        <v>93</v>
      </c>
      <c r="D110" s="392" t="s">
        <v>118</v>
      </c>
      <c r="E110" s="36" t="s">
        <v>107</v>
      </c>
      <c r="F110" s="387">
        <v>100</v>
      </c>
      <c r="G110" s="387">
        <f t="shared" si="13"/>
        <v>100</v>
      </c>
      <c r="H110" s="388">
        <f>'COMPOSIÇÃO UNITÁRIA'!G394</f>
        <v>5.55</v>
      </c>
      <c r="I110" s="366">
        <f t="shared" si="14"/>
        <v>6.918074999999999</v>
      </c>
      <c r="J110" s="382">
        <f t="shared" si="10"/>
        <v>691.8</v>
      </c>
      <c r="K110" s="417">
        <v>0</v>
      </c>
      <c r="L110" s="399">
        <f t="shared" si="11"/>
        <v>1</v>
      </c>
      <c r="M110" s="366">
        <f t="shared" si="12"/>
        <v>691.8</v>
      </c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</row>
    <row r="111" spans="1:40" ht="27.75">
      <c r="A111" s="376" t="s">
        <v>503</v>
      </c>
      <c r="B111" s="36" t="s">
        <v>65</v>
      </c>
      <c r="C111" s="377" t="s">
        <v>93</v>
      </c>
      <c r="D111" s="444" t="str">
        <f>COMPOSIÇÕES!C588</f>
        <v>Fornecimento e Instalação de Placa de indicação de Acionadores de Alarme de emergência  - 15 x 20 cm</v>
      </c>
      <c r="E111" s="445" t="s">
        <v>38</v>
      </c>
      <c r="F111" s="446">
        <v>2</v>
      </c>
      <c r="G111" s="387">
        <f t="shared" si="13"/>
        <v>2</v>
      </c>
      <c r="H111" s="388">
        <f>'COMPOSIÇÃO UNITÁRIA'!G401</f>
        <v>8.74</v>
      </c>
      <c r="I111" s="366">
        <f t="shared" si="14"/>
        <v>10.89441</v>
      </c>
      <c r="J111" s="382">
        <f t="shared" si="10"/>
        <v>21.78</v>
      </c>
      <c r="K111" s="417">
        <v>0</v>
      </c>
      <c r="L111" s="399">
        <f t="shared" si="11"/>
        <v>1</v>
      </c>
      <c r="M111" s="366">
        <f t="shared" si="12"/>
        <v>21.78</v>
      </c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</row>
    <row r="112" spans="1:40" ht="27.75">
      <c r="A112" s="376" t="s">
        <v>504</v>
      </c>
      <c r="B112" s="36" t="s">
        <v>65</v>
      </c>
      <c r="C112" s="377" t="s">
        <v>93</v>
      </c>
      <c r="D112" s="373" t="s">
        <v>152</v>
      </c>
      <c r="E112" s="445" t="s">
        <v>42</v>
      </c>
      <c r="F112" s="387">
        <v>70</v>
      </c>
      <c r="G112" s="387">
        <f t="shared" si="13"/>
        <v>70</v>
      </c>
      <c r="H112" s="388">
        <f>'COMPOSIÇÃO UNITÁRIA'!G408</f>
        <v>5.15</v>
      </c>
      <c r="I112" s="366">
        <f t="shared" si="14"/>
        <v>6.419475</v>
      </c>
      <c r="J112" s="382">
        <f t="shared" si="10"/>
        <v>449.36</v>
      </c>
      <c r="K112" s="417">
        <v>0</v>
      </c>
      <c r="L112" s="399">
        <f t="shared" si="11"/>
        <v>1</v>
      </c>
      <c r="M112" s="366">
        <f t="shared" si="12"/>
        <v>449.36</v>
      </c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</row>
    <row r="113" spans="1:40" ht="27.75">
      <c r="A113" s="376" t="s">
        <v>505</v>
      </c>
      <c r="B113" s="36" t="s">
        <v>65</v>
      </c>
      <c r="C113" s="377" t="s">
        <v>93</v>
      </c>
      <c r="D113" s="386" t="s">
        <v>160</v>
      </c>
      <c r="E113" s="36" t="s">
        <v>106</v>
      </c>
      <c r="F113" s="387">
        <v>6</v>
      </c>
      <c r="G113" s="387">
        <f t="shared" si="13"/>
        <v>6</v>
      </c>
      <c r="H113" s="388">
        <f>'COMPOSIÇÃO UNITÁRIA'!G415</f>
        <v>4.99</v>
      </c>
      <c r="I113" s="366">
        <f t="shared" si="14"/>
        <v>6.220035</v>
      </c>
      <c r="J113" s="382">
        <f t="shared" si="10"/>
        <v>37.32</v>
      </c>
      <c r="K113" s="417">
        <v>0</v>
      </c>
      <c r="L113" s="399">
        <f t="shared" si="11"/>
        <v>1</v>
      </c>
      <c r="M113" s="366">
        <f t="shared" si="12"/>
        <v>37.32</v>
      </c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</row>
    <row r="114" spans="1:40" ht="13.5">
      <c r="A114" s="463" t="s">
        <v>0</v>
      </c>
      <c r="B114" s="463"/>
      <c r="C114" s="463"/>
      <c r="D114" s="463"/>
      <c r="E114" s="463"/>
      <c r="F114" s="463"/>
      <c r="G114" s="463"/>
      <c r="H114" s="463"/>
      <c r="I114" s="463"/>
      <c r="J114" s="447">
        <f>SUM(J96:J113)</f>
        <v>8255.17</v>
      </c>
      <c r="K114" s="447"/>
      <c r="L114" s="394"/>
      <c r="M114" s="447">
        <f>SUM(M96:M113)</f>
        <v>8255.17</v>
      </c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</row>
    <row r="115" spans="1:40" ht="13.5">
      <c r="A115" s="427"/>
      <c r="B115" s="428"/>
      <c r="C115" s="429"/>
      <c r="D115" s="365"/>
      <c r="E115" s="178"/>
      <c r="F115" s="448"/>
      <c r="G115" s="448"/>
      <c r="H115" s="437"/>
      <c r="I115" s="449"/>
      <c r="J115" s="447"/>
      <c r="K115" s="447"/>
      <c r="L115" s="394"/>
      <c r="M115" s="447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</row>
    <row r="116" spans="1:40" ht="13.5">
      <c r="A116" s="415" t="s">
        <v>383</v>
      </c>
      <c r="B116" s="416"/>
      <c r="C116" s="416"/>
      <c r="D116" s="416" t="s">
        <v>395</v>
      </c>
      <c r="E116" s="416"/>
      <c r="F116" s="416"/>
      <c r="G116" s="416"/>
      <c r="H116" s="416"/>
      <c r="I116" s="416"/>
      <c r="J116" s="416"/>
      <c r="K116" s="416"/>
      <c r="L116" s="179"/>
      <c r="M116" s="416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</row>
    <row r="117" spans="1:40" ht="27.75">
      <c r="A117" s="36" t="s">
        <v>385</v>
      </c>
      <c r="B117" s="36" t="s">
        <v>65</v>
      </c>
      <c r="C117" s="377" t="s">
        <v>93</v>
      </c>
      <c r="D117" s="365" t="s">
        <v>397</v>
      </c>
      <c r="E117" s="363" t="s">
        <v>363</v>
      </c>
      <c r="F117" s="366">
        <v>619.28</v>
      </c>
      <c r="G117" s="366">
        <f>F117*L117</f>
        <v>619.28</v>
      </c>
      <c r="H117" s="364">
        <f>'COMPOSIÇÃO UNITÁRIA'!G420</f>
        <v>2.44</v>
      </c>
      <c r="I117" s="366">
        <f>H117*($J$3+1)</f>
        <v>3.04146</v>
      </c>
      <c r="J117" s="366">
        <f>TRUNC((F117*I117),2)</f>
        <v>1883.51</v>
      </c>
      <c r="K117" s="417">
        <v>0</v>
      </c>
      <c r="L117" s="399">
        <f>1-K117</f>
        <v>1</v>
      </c>
      <c r="M117" s="366">
        <f>TRUNC((J117*L117),2)</f>
        <v>1883.51</v>
      </c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</row>
    <row r="118" spans="1:40" ht="27.75">
      <c r="A118" s="36" t="s">
        <v>439</v>
      </c>
      <c r="B118" s="36" t="s">
        <v>65</v>
      </c>
      <c r="C118" s="377" t="s">
        <v>93</v>
      </c>
      <c r="D118" s="365" t="s">
        <v>399</v>
      </c>
      <c r="E118" s="363" t="s">
        <v>27</v>
      </c>
      <c r="F118" s="366">
        <f>F117*0.05</f>
        <v>30.964</v>
      </c>
      <c r="G118" s="366">
        <f>F118*L118</f>
        <v>30.964</v>
      </c>
      <c r="H118" s="364">
        <f>'COMPOSIÇÃO UNITÁRIA'!G427</f>
        <v>9.44</v>
      </c>
      <c r="I118" s="366">
        <f>H118*($J$3+1)</f>
        <v>11.76696</v>
      </c>
      <c r="J118" s="366">
        <f>TRUNC((F118*I118),2)</f>
        <v>364.35</v>
      </c>
      <c r="K118" s="417">
        <v>0</v>
      </c>
      <c r="L118" s="399">
        <f>1-K118</f>
        <v>1</v>
      </c>
      <c r="M118" s="366">
        <f>TRUNC((J118*L118),2)</f>
        <v>364.35</v>
      </c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</row>
    <row r="119" spans="1:40" ht="13.5">
      <c r="A119" s="460" t="s">
        <v>378</v>
      </c>
      <c r="B119" s="460"/>
      <c r="C119" s="460"/>
      <c r="D119" s="460"/>
      <c r="E119" s="460"/>
      <c r="F119" s="460"/>
      <c r="G119" s="460"/>
      <c r="H119" s="460"/>
      <c r="I119" s="178"/>
      <c r="J119" s="409">
        <f>SUM(J117:J118)</f>
        <v>2247.86</v>
      </c>
      <c r="K119" s="409">
        <f>SUM(K117:K118)</f>
        <v>0</v>
      </c>
      <c r="L119" s="179"/>
      <c r="M119" s="409">
        <f>SUM(M117:M118)</f>
        <v>2247.86</v>
      </c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</row>
    <row r="120" spans="1:13" ht="13.5">
      <c r="A120" s="464" t="s">
        <v>1</v>
      </c>
      <c r="B120" s="464"/>
      <c r="C120" s="464"/>
      <c r="D120" s="464"/>
      <c r="E120" s="464"/>
      <c r="F120" s="464"/>
      <c r="G120" s="464"/>
      <c r="H120" s="464"/>
      <c r="I120" s="464"/>
      <c r="J120" s="393">
        <f>SUM(J10,J18,J22,J27,J31,J37,J41,J50,J55,J86,J93,J114,J119)</f>
        <v>283252.55</v>
      </c>
      <c r="K120" s="393"/>
      <c r="L120" s="394"/>
      <c r="M120" s="393">
        <f>SUM(M10,M18,M22,M27,M31,M37,M41,M50,M55,M86,M93,M114,M119)</f>
        <v>232598.066414</v>
      </c>
    </row>
    <row r="121" spans="1:13" ht="13.5">
      <c r="A121" s="465" t="s">
        <v>2</v>
      </c>
      <c r="B121" s="465"/>
      <c r="C121" s="465"/>
      <c r="D121" s="465"/>
      <c r="E121" s="465"/>
      <c r="F121" s="465"/>
      <c r="G121" s="465"/>
      <c r="H121" s="465"/>
      <c r="I121" s="465"/>
      <c r="J121" s="465"/>
      <c r="K121" s="398"/>
      <c r="L121" s="399"/>
      <c r="M121" s="398"/>
    </row>
    <row r="122" spans="1:13" ht="13.5">
      <c r="A122" s="460" t="s">
        <v>568</v>
      </c>
      <c r="B122" s="460"/>
      <c r="C122" s="460"/>
      <c r="D122" s="460"/>
      <c r="E122" s="460"/>
      <c r="F122" s="460"/>
      <c r="G122" s="460"/>
      <c r="H122" s="460"/>
      <c r="I122" s="460"/>
      <c r="J122" s="460"/>
      <c r="K122" s="398"/>
      <c r="L122" s="399"/>
      <c r="M122" s="398"/>
    </row>
    <row r="123" ht="13.5">
      <c r="D123" s="354"/>
    </row>
    <row r="124" ht="13.5">
      <c r="D124" s="354"/>
    </row>
    <row r="127" spans="1:4" ht="13.5">
      <c r="A127" s="461"/>
      <c r="B127" s="461"/>
      <c r="C127" s="461"/>
      <c r="D127" s="395"/>
    </row>
    <row r="128" ht="13.5">
      <c r="D128" s="395"/>
    </row>
    <row r="129" ht="13.5">
      <c r="D129" s="395"/>
    </row>
    <row r="130" ht="13.5">
      <c r="D130" s="395"/>
    </row>
    <row r="131" ht="13.5">
      <c r="D131" s="395"/>
    </row>
  </sheetData>
  <sheetProtection/>
  <mergeCells count="22">
    <mergeCell ref="A1:J1"/>
    <mergeCell ref="B3:H3"/>
    <mergeCell ref="B4:H4"/>
    <mergeCell ref="A5:J5"/>
    <mergeCell ref="A10:H10"/>
    <mergeCell ref="A37:H37"/>
    <mergeCell ref="B2:I2"/>
    <mergeCell ref="A41:H41"/>
    <mergeCell ref="A50:I50"/>
    <mergeCell ref="A55:I55"/>
    <mergeCell ref="A18:H18"/>
    <mergeCell ref="A22:H22"/>
    <mergeCell ref="A27:H27"/>
    <mergeCell ref="A31:H31"/>
    <mergeCell ref="A122:J122"/>
    <mergeCell ref="A127:C127"/>
    <mergeCell ref="A86:I86"/>
    <mergeCell ref="A93:I93"/>
    <mergeCell ref="A114:I114"/>
    <mergeCell ref="A119:H119"/>
    <mergeCell ref="A120:I120"/>
    <mergeCell ref="A121:J121"/>
  </mergeCells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0"/>
  <sheetViews>
    <sheetView tabSelected="1" view="pageBreakPreview" zoomScale="80" zoomScaleNormal="55" zoomScaleSheetLayoutView="80" zoomScalePageLayoutView="0" workbookViewId="0" topLeftCell="A1">
      <selection activeCell="C80" sqref="C80"/>
    </sheetView>
  </sheetViews>
  <sheetFormatPr defaultColWidth="9.140625" defaultRowHeight="12.75"/>
  <cols>
    <col min="1" max="1" width="14.57421875" style="2" bestFit="1" customWidth="1"/>
    <col min="2" max="2" width="17.140625" style="2" hidden="1" customWidth="1"/>
    <col min="3" max="3" width="126.8515625" style="2" customWidth="1"/>
    <col min="4" max="4" width="26.28125" style="3" customWidth="1"/>
    <col min="5" max="5" width="17.140625" style="2" customWidth="1"/>
    <col min="6" max="16384" width="9.140625" style="2" customWidth="1"/>
  </cols>
  <sheetData>
    <row r="1" spans="1:5" ht="18" thickBot="1">
      <c r="A1" s="471" t="s">
        <v>428</v>
      </c>
      <c r="B1" s="472"/>
      <c r="C1" s="472"/>
      <c r="D1" s="472"/>
      <c r="E1" s="473"/>
    </row>
    <row r="2" ht="13.5" thickBot="1">
      <c r="C2" s="235"/>
    </row>
    <row r="3" spans="1:11" s="4" customFormat="1" ht="15">
      <c r="A3" s="187" t="s">
        <v>17</v>
      </c>
      <c r="B3" s="188" t="s">
        <v>96</v>
      </c>
      <c r="C3" s="477" t="s">
        <v>333</v>
      </c>
      <c r="D3" s="478"/>
      <c r="E3" s="479"/>
      <c r="F3" s="12"/>
      <c r="G3" s="12"/>
      <c r="H3" s="13"/>
      <c r="I3" s="13"/>
      <c r="J3" s="13"/>
      <c r="K3" s="9"/>
    </row>
    <row r="4" spans="1:11" s="4" customFormat="1" ht="24.75" customHeight="1">
      <c r="A4" s="189" t="s">
        <v>18</v>
      </c>
      <c r="B4" s="185" t="s">
        <v>64</v>
      </c>
      <c r="C4" s="185" t="s">
        <v>424</v>
      </c>
      <c r="D4" s="186" t="s">
        <v>427</v>
      </c>
      <c r="E4" s="190">
        <v>42265</v>
      </c>
      <c r="F4" s="13"/>
      <c r="G4" s="13"/>
      <c r="H4" s="482"/>
      <c r="I4" s="482"/>
      <c r="J4" s="13"/>
      <c r="K4" s="9"/>
    </row>
    <row r="5" spans="1:11" s="4" customFormat="1" ht="15.75" thickBot="1">
      <c r="A5" s="191" t="s">
        <v>19</v>
      </c>
      <c r="B5" s="192" t="s">
        <v>63</v>
      </c>
      <c r="C5" s="474" t="s">
        <v>63</v>
      </c>
      <c r="D5" s="475"/>
      <c r="E5" s="476"/>
      <c r="F5" s="12"/>
      <c r="G5" s="12"/>
      <c r="H5" s="13"/>
      <c r="I5" s="14"/>
      <c r="J5" s="17"/>
      <c r="K5" s="10"/>
    </row>
    <row r="6" spans="1:5" s="1" customFormat="1" ht="15">
      <c r="A6" s="487"/>
      <c r="B6" s="488"/>
      <c r="C6" s="488"/>
      <c r="D6" s="488"/>
      <c r="E6" s="488"/>
    </row>
    <row r="7" spans="1:5" s="4" customFormat="1" ht="13.5">
      <c r="A7" s="28" t="s">
        <v>37</v>
      </c>
      <c r="B7" s="28"/>
      <c r="C7" s="28" t="s">
        <v>55</v>
      </c>
      <c r="D7" s="24" t="s">
        <v>56</v>
      </c>
      <c r="E7" s="24" t="s">
        <v>3</v>
      </c>
    </row>
    <row r="8" spans="1:5" s="4" customFormat="1" ht="13.5">
      <c r="A8" s="178" t="str">
        <f>CRONOGRAMA!A10</f>
        <v>1.0</v>
      </c>
      <c r="B8" s="178"/>
      <c r="C8" s="178" t="str">
        <f>CRONOGRAMA!B10</f>
        <v>ADMINISTRAÇÃO</v>
      </c>
      <c r="D8" s="177">
        <f>ORÇAMENTO!M10</f>
        <v>5815.566414</v>
      </c>
      <c r="E8" s="179">
        <f>D8/D21</f>
        <v>0.025002642986932253</v>
      </c>
    </row>
    <row r="9" spans="1:5" s="4" customFormat="1" ht="13.5">
      <c r="A9" s="178" t="str">
        <f>CRONOGRAMA!A11</f>
        <v>2.0</v>
      </c>
      <c r="B9" s="25"/>
      <c r="C9" s="178" t="str">
        <f>CRONOGRAMA!B11</f>
        <v>ESQUADRIAS</v>
      </c>
      <c r="D9" s="26">
        <f>ORÇAMENTO!M18</f>
        <v>42076.61</v>
      </c>
      <c r="E9" s="179">
        <f>D9/D21</f>
        <v>0.18089836535918608</v>
      </c>
    </row>
    <row r="10" spans="1:5" s="4" customFormat="1" ht="13.5">
      <c r="A10" s="178" t="str">
        <f>CRONOGRAMA!A12</f>
        <v>3.0</v>
      </c>
      <c r="B10" s="25"/>
      <c r="C10" s="178" t="str">
        <f>CRONOGRAMA!B12</f>
        <v>REVESTIMENTO</v>
      </c>
      <c r="D10" s="26">
        <f>ORÇAMENTO!M22</f>
        <v>538.77</v>
      </c>
      <c r="E10" s="179">
        <f>D10/D21</f>
        <v>0.002316313322403318</v>
      </c>
    </row>
    <row r="11" spans="1:5" s="4" customFormat="1" ht="13.5">
      <c r="A11" s="178" t="str">
        <f>CRONOGRAMA!A13</f>
        <v>4.0</v>
      </c>
      <c r="B11" s="25"/>
      <c r="C11" s="178" t="str">
        <f>CRONOGRAMA!B13</f>
        <v>FORROS E DIVISÓRIAS</v>
      </c>
      <c r="D11" s="26">
        <f>ORÇAMENTO!M27</f>
        <v>26542.22</v>
      </c>
      <c r="E11" s="179">
        <f>D11/D21</f>
        <v>0.11411195462286282</v>
      </c>
    </row>
    <row r="12" spans="1:5" s="4" customFormat="1" ht="13.5">
      <c r="A12" s="178" t="str">
        <f>CRONOGRAMA!A14</f>
        <v>5.0</v>
      </c>
      <c r="B12" s="25"/>
      <c r="C12" s="178" t="str">
        <f>CRONOGRAMA!B14</f>
        <v>VIDROS</v>
      </c>
      <c r="D12" s="26">
        <f>ORÇAMENTO!M31</f>
        <v>3221.99</v>
      </c>
      <c r="E12" s="179">
        <f>D12/D21</f>
        <v>0.013852178780649009</v>
      </c>
    </row>
    <row r="13" spans="1:5" s="4" customFormat="1" ht="13.5">
      <c r="A13" s="178" t="str">
        <f>CRONOGRAMA!A15</f>
        <v>6.0</v>
      </c>
      <c r="B13" s="25"/>
      <c r="C13" s="178" t="str">
        <f>CRONOGRAMA!B15</f>
        <v>PINTURA</v>
      </c>
      <c r="D13" s="26">
        <f>ORÇAMENTO!M37</f>
        <v>37342.659999999996</v>
      </c>
      <c r="E13" s="179">
        <f>D13/D21</f>
        <v>0.16054587458837255</v>
      </c>
    </row>
    <row r="14" spans="1:5" s="4" customFormat="1" ht="13.5">
      <c r="A14" s="178" t="str">
        <f>CRONOGRAMA!A16</f>
        <v>7.0</v>
      </c>
      <c r="B14" s="25"/>
      <c r="C14" s="178" t="str">
        <f>CRONOGRAMA!B16</f>
        <v>SERVIÇOS COMPLEMENTARES</v>
      </c>
      <c r="D14" s="26">
        <f>ORÇAMENTO!M41</f>
        <v>3359.58</v>
      </c>
      <c r="E14" s="179">
        <f>D14/D21</f>
        <v>0.01444371422254346</v>
      </c>
    </row>
    <row r="15" spans="1:5" s="4" customFormat="1" ht="13.5">
      <c r="A15" s="178" t="str">
        <f>CRONOGRAMA!A17</f>
        <v>8.0</v>
      </c>
      <c r="B15" s="25"/>
      <c r="C15" s="178" t="str">
        <f>CRONOGRAMA!B17</f>
        <v>HIDROSSANITÁRIO</v>
      </c>
      <c r="D15" s="26">
        <f>ORÇAMENTO!M50</f>
        <v>6441.419999999999</v>
      </c>
      <c r="E15" s="179">
        <f>D15/D21</f>
        <v>0.027693351450888467</v>
      </c>
    </row>
    <row r="16" spans="1:5" s="4" customFormat="1" ht="13.5">
      <c r="A16" s="178" t="str">
        <f>CRONOGRAMA!A18</f>
        <v>9.0</v>
      </c>
      <c r="B16" s="25"/>
      <c r="C16" s="178" t="str">
        <f>CRONOGRAMA!B18</f>
        <v>SISTEMA DE PROTEÇÃO CONTRA DESCARGAS ATMOSFÉRICAS - SPDA</v>
      </c>
      <c r="D16" s="26">
        <f>ORÇAMENTO!M55</f>
        <v>7574.23</v>
      </c>
      <c r="E16" s="179">
        <f>D16/D21</f>
        <v>0.03256359829973251</v>
      </c>
    </row>
    <row r="17" spans="1:5" s="4" customFormat="1" ht="13.5">
      <c r="A17" s="178" t="str">
        <f>CRONOGRAMA!A19</f>
        <v>10.0</v>
      </c>
      <c r="B17" s="25"/>
      <c r="C17" s="178" t="str">
        <f>CRONOGRAMA!B19</f>
        <v>SISTEMA DE CABEAMENTO ESTRUTURADO + INFRAESTRUTURA</v>
      </c>
      <c r="D17" s="26">
        <f>ORÇAMENTO!M86</f>
        <v>35327.85999999999</v>
      </c>
      <c r="E17" s="179">
        <f>D17/D21</f>
        <v>0.1518837217551075</v>
      </c>
    </row>
    <row r="18" spans="1:5" s="4" customFormat="1" ht="13.5">
      <c r="A18" s="178" t="str">
        <f>CRONOGRAMA!A20</f>
        <v>11.0</v>
      </c>
      <c r="B18" s="25"/>
      <c r="C18" s="178" t="str">
        <f>CRONOGRAMA!B20</f>
        <v>INSTALAÇÕES ELÉTRICAS BAIXA TENSÃO</v>
      </c>
      <c r="D18" s="26">
        <f>ORÇAMENTO!M93</f>
        <v>53854.130000000005</v>
      </c>
      <c r="E18" s="179">
        <f>D18/D21</f>
        <v>0.23153300812116528</v>
      </c>
    </row>
    <row r="19" spans="1:5" s="4" customFormat="1" ht="13.5">
      <c r="A19" s="178" t="str">
        <f>CRONOGRAMA!A21</f>
        <v>12.0</v>
      </c>
      <c r="B19" s="25"/>
      <c r="C19" s="178" t="str">
        <f>CRONOGRAMA!B21</f>
        <v>PREVENÇÃO E COMBATE CONTRA INCÊNDIO E PÂNICO</v>
      </c>
      <c r="D19" s="26">
        <f>ORÇAMENTO!M114</f>
        <v>8255.17</v>
      </c>
      <c r="E19" s="179">
        <f>D19/D21</f>
        <v>0.03549113768343486</v>
      </c>
    </row>
    <row r="20" spans="1:5" s="4" customFormat="1" ht="13.5">
      <c r="A20" s="178" t="str">
        <f>CRONOGRAMA!A22</f>
        <v>13.0</v>
      </c>
      <c r="B20" s="25"/>
      <c r="C20" s="178" t="str">
        <f>CRONOGRAMA!B22</f>
        <v>LIMPEZA</v>
      </c>
      <c r="D20" s="26">
        <f>ORÇAMENTO!M119</f>
        <v>2247.86</v>
      </c>
      <c r="E20" s="179">
        <f>D20/D21</f>
        <v>0.009664138806721834</v>
      </c>
    </row>
    <row r="21" spans="1:5" s="4" customFormat="1" ht="13.5">
      <c r="A21" s="483" t="s">
        <v>1</v>
      </c>
      <c r="B21" s="483"/>
      <c r="C21" s="483"/>
      <c r="D21" s="27">
        <f>SUM(D8:D20)</f>
        <v>232598.066414</v>
      </c>
      <c r="E21" s="180">
        <f>SUM(E8:E20)</f>
        <v>0.9999999999999998</v>
      </c>
    </row>
    <row r="22" spans="1:5" s="4" customFormat="1" ht="15">
      <c r="A22" s="484" t="s">
        <v>4</v>
      </c>
      <c r="B22" s="485"/>
      <c r="C22" s="486"/>
      <c r="D22" s="22"/>
      <c r="E22" s="23"/>
    </row>
    <row r="23" spans="1:5" s="4" customFormat="1" ht="40.5" customHeight="1" thickBot="1">
      <c r="A23" s="489">
        <f>D21</f>
        <v>232598.066414</v>
      </c>
      <c r="B23" s="490"/>
      <c r="C23" s="490"/>
      <c r="D23" s="490"/>
      <c r="E23" s="491"/>
    </row>
    <row r="27" spans="1:5" ht="13.5">
      <c r="A27" s="480"/>
      <c r="B27" s="480"/>
      <c r="C27" s="480"/>
      <c r="D27" s="481" t="s">
        <v>431</v>
      </c>
      <c r="E27" s="481"/>
    </row>
    <row r="28" spans="1:4" ht="13.5">
      <c r="A28" s="182"/>
      <c r="B28" s="182"/>
      <c r="C28" s="182"/>
      <c r="D28" s="182"/>
    </row>
    <row r="29" spans="1:4" ht="13.5">
      <c r="A29" s="182"/>
      <c r="B29" s="182"/>
      <c r="C29" s="182"/>
      <c r="D29" s="182"/>
    </row>
    <row r="30" spans="1:4" ht="13.5">
      <c r="A30" s="182"/>
      <c r="B30" s="182"/>
      <c r="C30" s="182"/>
      <c r="D30" s="182"/>
    </row>
  </sheetData>
  <sheetProtection/>
  <mergeCells count="10">
    <mergeCell ref="A1:E1"/>
    <mergeCell ref="C5:E5"/>
    <mergeCell ref="C3:E3"/>
    <mergeCell ref="A27:C27"/>
    <mergeCell ref="D27:E27"/>
    <mergeCell ref="H4:I4"/>
    <mergeCell ref="A21:C21"/>
    <mergeCell ref="A22:C22"/>
    <mergeCell ref="A6:E6"/>
    <mergeCell ref="A23:E23"/>
  </mergeCells>
  <printOptions horizontalCentered="1"/>
  <pageMargins left="0.7874015748031497" right="0.7874015748031497" top="1.1811023622047245" bottom="1.1811023622047245" header="0.5118110236220472" footer="0.5118110236220472"/>
  <pageSetup horizontalDpi="600" verticalDpi="600" orientation="landscape" paperSize="9" scale="70" r:id="rId2"/>
  <headerFooter alignWithMargins="0">
    <oddHeader>&amp;R&amp;G</oddHeader>
    <oddFooter>&amp;CGuimarães e Cia Ltda
CNPJ. 11.814.051/0001-73
Rua Seis de Outubro, 322 – Centro
Cáceres/MT – (65) 3223-3348
gcguima@terra.com.br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7"/>
  <sheetViews>
    <sheetView view="pageLayout" zoomScaleNormal="40" zoomScaleSheetLayoutView="100" workbookViewId="0" topLeftCell="A1">
      <selection activeCell="H35" sqref="H35:M35"/>
    </sheetView>
  </sheetViews>
  <sheetFormatPr defaultColWidth="9.140625" defaultRowHeight="12.75"/>
  <cols>
    <col min="1" max="1" width="14.00390625" style="2" bestFit="1" customWidth="1"/>
    <col min="2" max="2" width="34.7109375" style="2" customWidth="1"/>
    <col min="3" max="3" width="15.28125" style="2" bestFit="1" customWidth="1"/>
    <col min="4" max="4" width="9.8515625" style="2" bestFit="1" customWidth="1"/>
    <col min="5" max="5" width="12.28125" style="2" bestFit="1" customWidth="1"/>
    <col min="6" max="6" width="8.140625" style="5" bestFit="1" customWidth="1"/>
    <col min="7" max="7" width="12.28125" style="5" bestFit="1" customWidth="1"/>
    <col min="8" max="8" width="9.140625" style="5" bestFit="1" customWidth="1"/>
    <col min="9" max="9" width="11.57421875" style="5" bestFit="1" customWidth="1"/>
    <col min="10" max="10" width="8.7109375" style="5" bestFit="1" customWidth="1"/>
    <col min="11" max="11" width="12.28125" style="5" bestFit="1" customWidth="1"/>
    <col min="12" max="12" width="8.140625" style="5" bestFit="1" customWidth="1"/>
    <col min="13" max="13" width="12.28125" style="2" bestFit="1" customWidth="1"/>
    <col min="14" max="14" width="9.00390625" style="2" customWidth="1"/>
    <col min="15" max="15" width="12.7109375" style="2" bestFit="1" customWidth="1"/>
    <col min="16" max="16" width="8.140625" style="2" bestFit="1" customWidth="1"/>
    <col min="17" max="17" width="8.7109375" style="2" bestFit="1" customWidth="1"/>
    <col min="18" max="22" width="10.421875" style="2" customWidth="1"/>
    <col min="23" max="23" width="15.28125" style="2" bestFit="1" customWidth="1"/>
    <col min="24" max="16384" width="9.140625" style="2" customWidth="1"/>
  </cols>
  <sheetData>
    <row r="1" spans="1:17" ht="18" thickBot="1">
      <c r="A1" s="471" t="s">
        <v>429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  <c r="Q1" s="473"/>
    </row>
    <row r="2" ht="12.75" thickBot="1"/>
    <row r="3" spans="1:22" ht="15.75" customHeight="1">
      <c r="A3" s="193" t="str">
        <f>'[1]Planilha'!A6</f>
        <v>OBRA:</v>
      </c>
      <c r="B3" s="492" t="s">
        <v>333</v>
      </c>
      <c r="C3" s="493"/>
      <c r="D3" s="493"/>
      <c r="E3" s="493"/>
      <c r="F3" s="493"/>
      <c r="G3" s="493"/>
      <c r="H3" s="493"/>
      <c r="I3" s="493"/>
      <c r="J3" s="493"/>
      <c r="K3" s="493"/>
      <c r="L3" s="493"/>
      <c r="M3" s="493"/>
      <c r="N3" s="493"/>
      <c r="O3" s="493"/>
      <c r="P3" s="493"/>
      <c r="Q3" s="494"/>
      <c r="R3" s="19"/>
      <c r="S3" s="19"/>
      <c r="T3" s="19"/>
      <c r="U3" s="19"/>
      <c r="V3" s="19"/>
    </row>
    <row r="4" spans="1:22" ht="13.5">
      <c r="A4" s="194" t="str">
        <f>'[1]Planilha'!A7</f>
        <v>ENDEREÇO:</v>
      </c>
      <c r="B4" s="505" t="str">
        <f>'QUADRO RESUMO'!C4</f>
        <v>AVENIDA SANTOS DUMONT, S/N - BAIRRO DNER - CIDADE UNIVERSITÁRIA (AEROPORTO ANTIGO)</v>
      </c>
      <c r="C4" s="506"/>
      <c r="D4" s="506"/>
      <c r="E4" s="507"/>
      <c r="F4" s="507"/>
      <c r="G4" s="507"/>
      <c r="H4" s="507"/>
      <c r="I4" s="507"/>
      <c r="J4" s="507"/>
      <c r="K4" s="507"/>
      <c r="L4" s="507"/>
      <c r="M4" s="507"/>
      <c r="N4" s="495"/>
      <c r="O4" s="496"/>
      <c r="P4" s="496"/>
      <c r="Q4" s="499"/>
      <c r="R4" s="19"/>
      <c r="S4" s="19"/>
      <c r="T4" s="19"/>
      <c r="U4" s="19"/>
      <c r="V4" s="19"/>
    </row>
    <row r="5" spans="1:22" ht="14.25" thickBot="1">
      <c r="A5" s="195" t="str">
        <f>'[1]Planilha'!A8</f>
        <v>MUNICÍPIO:</v>
      </c>
      <c r="B5" s="501" t="str">
        <f>'QUADRO RESUMO'!C5</f>
        <v>CÁCERES-MT</v>
      </c>
      <c r="C5" s="502"/>
      <c r="D5" s="502"/>
      <c r="E5" s="503"/>
      <c r="F5" s="503"/>
      <c r="G5" s="503"/>
      <c r="H5" s="503"/>
      <c r="I5" s="503"/>
      <c r="J5" s="503"/>
      <c r="K5" s="503"/>
      <c r="L5" s="503"/>
      <c r="M5" s="503"/>
      <c r="N5" s="497"/>
      <c r="O5" s="498"/>
      <c r="P5" s="498"/>
      <c r="Q5" s="500"/>
      <c r="R5" s="19"/>
      <c r="S5" s="19"/>
      <c r="T5" s="19"/>
      <c r="U5" s="19"/>
      <c r="V5" s="19"/>
    </row>
    <row r="6" spans="1:22" ht="15.75" thickBot="1">
      <c r="A6" s="15"/>
      <c r="B6" s="21"/>
      <c r="C6" s="11"/>
      <c r="D6" s="11"/>
      <c r="F6" s="2"/>
      <c r="G6" s="2"/>
      <c r="H6" s="2"/>
      <c r="I6" s="2"/>
      <c r="J6" s="2"/>
      <c r="K6" s="2"/>
      <c r="L6" s="2"/>
      <c r="N6" s="18"/>
      <c r="O6" s="16"/>
      <c r="P6" s="18"/>
      <c r="Q6" s="20"/>
      <c r="R6" s="20"/>
      <c r="S6" s="20"/>
      <c r="T6" s="20"/>
      <c r="U6" s="20"/>
      <c r="V6" s="20"/>
    </row>
    <row r="7" spans="1:22" ht="14.25">
      <c r="A7" s="510" t="s">
        <v>37</v>
      </c>
      <c r="B7" s="513" t="s">
        <v>5</v>
      </c>
      <c r="C7" s="513" t="s">
        <v>430</v>
      </c>
      <c r="D7" s="513"/>
      <c r="E7" s="508" t="s">
        <v>6</v>
      </c>
      <c r="F7" s="508"/>
      <c r="G7" s="508"/>
      <c r="H7" s="508"/>
      <c r="I7" s="508"/>
      <c r="J7" s="508"/>
      <c r="K7" s="508"/>
      <c r="L7" s="508"/>
      <c r="M7" s="508"/>
      <c r="N7" s="508"/>
      <c r="O7" s="508"/>
      <c r="P7" s="508"/>
      <c r="Q7" s="509"/>
      <c r="R7" s="11"/>
      <c r="S7" s="11"/>
      <c r="T7" s="11"/>
      <c r="U7" s="11"/>
      <c r="V7" s="11"/>
    </row>
    <row r="8" spans="1:22" ht="14.25">
      <c r="A8" s="511"/>
      <c r="B8" s="514"/>
      <c r="C8" s="514"/>
      <c r="D8" s="514"/>
      <c r="E8" s="504" t="s">
        <v>7</v>
      </c>
      <c r="F8" s="504"/>
      <c r="G8" s="504" t="s">
        <v>8</v>
      </c>
      <c r="H8" s="504"/>
      <c r="I8" s="504" t="s">
        <v>9</v>
      </c>
      <c r="J8" s="504"/>
      <c r="K8" s="504" t="s">
        <v>10</v>
      </c>
      <c r="L8" s="504"/>
      <c r="M8" s="504" t="s">
        <v>11</v>
      </c>
      <c r="N8" s="504"/>
      <c r="O8" s="504" t="s">
        <v>29</v>
      </c>
      <c r="P8" s="504"/>
      <c r="Q8" s="196" t="s">
        <v>12</v>
      </c>
      <c r="R8" s="29"/>
      <c r="S8" s="29"/>
      <c r="T8" s="29"/>
      <c r="U8" s="29"/>
      <c r="V8" s="29"/>
    </row>
    <row r="9" spans="1:23" ht="15" thickBot="1">
      <c r="A9" s="512"/>
      <c r="B9" s="515"/>
      <c r="C9" s="212" t="s">
        <v>13</v>
      </c>
      <c r="D9" s="213" t="s">
        <v>3</v>
      </c>
      <c r="E9" s="214" t="s">
        <v>13</v>
      </c>
      <c r="F9" s="215" t="s">
        <v>3</v>
      </c>
      <c r="G9" s="214" t="s">
        <v>13</v>
      </c>
      <c r="H9" s="215" t="s">
        <v>3</v>
      </c>
      <c r="I9" s="214" t="s">
        <v>13</v>
      </c>
      <c r="J9" s="215" t="s">
        <v>3</v>
      </c>
      <c r="K9" s="214" t="s">
        <v>13</v>
      </c>
      <c r="L9" s="215" t="s">
        <v>3</v>
      </c>
      <c r="M9" s="216" t="s">
        <v>14</v>
      </c>
      <c r="N9" s="217" t="s">
        <v>3</v>
      </c>
      <c r="O9" s="216" t="s">
        <v>14</v>
      </c>
      <c r="P9" s="217" t="s">
        <v>3</v>
      </c>
      <c r="Q9" s="218" t="s">
        <v>3</v>
      </c>
      <c r="R9" s="30"/>
      <c r="S9" s="30"/>
      <c r="T9" s="30"/>
      <c r="U9" s="30"/>
      <c r="V9" s="30"/>
      <c r="W9" s="6"/>
    </row>
    <row r="10" spans="1:23" ht="14.25">
      <c r="A10" s="206" t="str">
        <f>ORÇAMENTO!A7</f>
        <v>1.0</v>
      </c>
      <c r="B10" s="238" t="str">
        <f>ORÇAMENTO!D7</f>
        <v>ADMINISTRAÇÃO</v>
      </c>
      <c r="C10" s="228">
        <f>ORÇAMENTO!M10</f>
        <v>5815.566414</v>
      </c>
      <c r="D10" s="207">
        <f>C10/C23</f>
        <v>0.025002642986932253</v>
      </c>
      <c r="E10" s="208">
        <f>F10*C10</f>
        <v>969.2610689999999</v>
      </c>
      <c r="F10" s="239">
        <v>0.16666666666666666</v>
      </c>
      <c r="G10" s="208">
        <f>H10*C10</f>
        <v>969.2610689999999</v>
      </c>
      <c r="H10" s="209">
        <f>1/6</f>
        <v>0.16666666666666666</v>
      </c>
      <c r="I10" s="208">
        <f>J10*C10</f>
        <v>969.2610689999999</v>
      </c>
      <c r="J10" s="209">
        <f>1/6</f>
        <v>0.16666666666666666</v>
      </c>
      <c r="K10" s="208">
        <f>L10*C10</f>
        <v>969.2610689999999</v>
      </c>
      <c r="L10" s="209">
        <f>1/6</f>
        <v>0.16666666666666666</v>
      </c>
      <c r="M10" s="210">
        <f>N10*C10</f>
        <v>969.2610689999999</v>
      </c>
      <c r="N10" s="211">
        <f>1/6</f>
        <v>0.16666666666666666</v>
      </c>
      <c r="O10" s="210">
        <f>P10*C10</f>
        <v>969.2610689999999</v>
      </c>
      <c r="P10" s="211">
        <f>1/6</f>
        <v>0.16666666666666666</v>
      </c>
      <c r="Q10" s="231">
        <f>SUM(F10,H10,J10,L10,N10,P10)</f>
        <v>0.9999999999999999</v>
      </c>
      <c r="R10" s="30"/>
      <c r="S10" s="30"/>
      <c r="T10" s="30"/>
      <c r="U10" s="30"/>
      <c r="V10" s="30"/>
      <c r="W10" s="6"/>
    </row>
    <row r="11" spans="1:23" ht="14.25">
      <c r="A11" s="197" t="str">
        <f>ORÇAMENTO!A12</f>
        <v>2.0</v>
      </c>
      <c r="B11" s="85" t="str">
        <f>ORÇAMENTO!D12</f>
        <v>ESQUADRIAS</v>
      </c>
      <c r="C11" s="229">
        <f>ORÇAMENTO!M18</f>
        <v>42076.61</v>
      </c>
      <c r="D11" s="181">
        <f>C11/C23</f>
        <v>0.18089836535918608</v>
      </c>
      <c r="E11" s="208">
        <f aca="true" t="shared" si="0" ref="E11:E22">F11*C11</f>
        <v>21038.305</v>
      </c>
      <c r="F11" s="239">
        <f>1/2</f>
        <v>0.5</v>
      </c>
      <c r="G11" s="208">
        <f aca="true" t="shared" si="1" ref="G11:G22">H11*C11</f>
        <v>21038.305</v>
      </c>
      <c r="H11" s="209">
        <f>1/2</f>
        <v>0.5</v>
      </c>
      <c r="I11" s="208">
        <f aca="true" t="shared" si="2" ref="I11:I22">J11*C11</f>
        <v>0</v>
      </c>
      <c r="J11" s="209">
        <v>0</v>
      </c>
      <c r="K11" s="208">
        <f aca="true" t="shared" si="3" ref="K11:K22">L11*C11</f>
        <v>0</v>
      </c>
      <c r="L11" s="209">
        <v>0</v>
      </c>
      <c r="M11" s="210">
        <f aca="true" t="shared" si="4" ref="M11:M22">N11*C11</f>
        <v>0</v>
      </c>
      <c r="N11" s="211">
        <v>0</v>
      </c>
      <c r="O11" s="210">
        <f aca="true" t="shared" si="5" ref="O11:O22">P11*C11</f>
        <v>0</v>
      </c>
      <c r="P11" s="211">
        <v>0</v>
      </c>
      <c r="Q11" s="231">
        <f aca="true" t="shared" si="6" ref="Q11:Q22">SUM(F11,H11,J11,L11,N11,P11)</f>
        <v>1</v>
      </c>
      <c r="R11" s="31"/>
      <c r="S11" s="31"/>
      <c r="T11" s="31"/>
      <c r="U11" s="31"/>
      <c r="V11" s="31"/>
      <c r="W11" s="6"/>
    </row>
    <row r="12" spans="1:23" ht="14.25">
      <c r="A12" s="197" t="s">
        <v>61</v>
      </c>
      <c r="B12" s="85" t="str">
        <f>ORÇAMENTO!D20</f>
        <v>REVESTIMENTO</v>
      </c>
      <c r="C12" s="229">
        <f>ORÇAMENTO!M22</f>
        <v>538.77</v>
      </c>
      <c r="D12" s="181">
        <f>C12/C23</f>
        <v>0.002316313322403318</v>
      </c>
      <c r="E12" s="208">
        <f t="shared" si="0"/>
        <v>538.77</v>
      </c>
      <c r="F12" s="239">
        <f>1</f>
        <v>1</v>
      </c>
      <c r="G12" s="208">
        <f t="shared" si="1"/>
        <v>0</v>
      </c>
      <c r="H12" s="209">
        <v>0</v>
      </c>
      <c r="I12" s="208">
        <f t="shared" si="2"/>
        <v>0</v>
      </c>
      <c r="J12" s="209">
        <v>0</v>
      </c>
      <c r="K12" s="208">
        <f t="shared" si="3"/>
        <v>0</v>
      </c>
      <c r="L12" s="209">
        <v>0</v>
      </c>
      <c r="M12" s="210">
        <f t="shared" si="4"/>
        <v>0</v>
      </c>
      <c r="N12" s="211">
        <v>0</v>
      </c>
      <c r="O12" s="210">
        <f t="shared" si="5"/>
        <v>0</v>
      </c>
      <c r="P12" s="211">
        <v>0</v>
      </c>
      <c r="Q12" s="231">
        <f t="shared" si="6"/>
        <v>1</v>
      </c>
      <c r="R12" s="31"/>
      <c r="S12" s="31"/>
      <c r="T12" s="31"/>
      <c r="U12" s="31"/>
      <c r="V12" s="31"/>
      <c r="W12" s="6"/>
    </row>
    <row r="13" spans="1:23" ht="14.25">
      <c r="A13" s="197" t="s">
        <v>124</v>
      </c>
      <c r="B13" s="85" t="str">
        <f>ORÇAMENTO!D24</f>
        <v>FORROS E DIVISÓRIAS</v>
      </c>
      <c r="C13" s="229">
        <f>ORÇAMENTO!M27</f>
        <v>26542.22</v>
      </c>
      <c r="D13" s="181">
        <f>C13/C23</f>
        <v>0.11411195462286282</v>
      </c>
      <c r="E13" s="208">
        <f t="shared" si="0"/>
        <v>8847.406666666666</v>
      </c>
      <c r="F13" s="239">
        <f>1/3</f>
        <v>0.3333333333333333</v>
      </c>
      <c r="G13" s="208">
        <f t="shared" si="1"/>
        <v>8847.406666666666</v>
      </c>
      <c r="H13" s="209">
        <f>1/3</f>
        <v>0.3333333333333333</v>
      </c>
      <c r="I13" s="208">
        <f t="shared" si="2"/>
        <v>8847.406666666666</v>
      </c>
      <c r="J13" s="209">
        <f>1/3</f>
        <v>0.3333333333333333</v>
      </c>
      <c r="K13" s="208">
        <f t="shared" si="3"/>
        <v>0</v>
      </c>
      <c r="L13" s="209">
        <v>0</v>
      </c>
      <c r="M13" s="210">
        <f t="shared" si="4"/>
        <v>0</v>
      </c>
      <c r="N13" s="211">
        <v>0</v>
      </c>
      <c r="O13" s="210">
        <f t="shared" si="5"/>
        <v>0</v>
      </c>
      <c r="P13" s="211">
        <v>0</v>
      </c>
      <c r="Q13" s="231">
        <f t="shared" si="6"/>
        <v>1</v>
      </c>
      <c r="R13" s="31"/>
      <c r="S13" s="31"/>
      <c r="T13" s="31"/>
      <c r="U13" s="31"/>
      <c r="V13" s="31"/>
      <c r="W13" s="6"/>
    </row>
    <row r="14" spans="1:23" ht="14.25">
      <c r="A14" s="197" t="s">
        <v>62</v>
      </c>
      <c r="B14" s="85" t="str">
        <f>ORÇAMENTO!D29</f>
        <v>VIDROS</v>
      </c>
      <c r="C14" s="229">
        <f>ORÇAMENTO!M31</f>
        <v>3221.99</v>
      </c>
      <c r="D14" s="181">
        <f>C14/C23</f>
        <v>0.013852178780649009</v>
      </c>
      <c r="E14" s="208">
        <f t="shared" si="0"/>
        <v>0</v>
      </c>
      <c r="F14" s="239">
        <v>0</v>
      </c>
      <c r="G14" s="208">
        <f t="shared" si="1"/>
        <v>0</v>
      </c>
      <c r="H14" s="209">
        <v>0</v>
      </c>
      <c r="I14" s="208">
        <f t="shared" si="2"/>
        <v>0</v>
      </c>
      <c r="J14" s="209">
        <v>0</v>
      </c>
      <c r="K14" s="208">
        <f t="shared" si="3"/>
        <v>3221.99</v>
      </c>
      <c r="L14" s="209">
        <v>1</v>
      </c>
      <c r="M14" s="210">
        <f t="shared" si="4"/>
        <v>0</v>
      </c>
      <c r="N14" s="211">
        <v>0</v>
      </c>
      <c r="O14" s="210">
        <f t="shared" si="5"/>
        <v>0</v>
      </c>
      <c r="P14" s="211">
        <v>0</v>
      </c>
      <c r="Q14" s="231">
        <f t="shared" si="6"/>
        <v>1</v>
      </c>
      <c r="R14" s="31"/>
      <c r="S14" s="31"/>
      <c r="T14" s="31"/>
      <c r="U14" s="31"/>
      <c r="V14" s="31"/>
      <c r="W14" s="6"/>
    </row>
    <row r="15" spans="1:23" ht="14.25">
      <c r="A15" s="197" t="s">
        <v>89</v>
      </c>
      <c r="B15" s="85" t="str">
        <f>ORÇAMENTO!D33</f>
        <v>PINTURA</v>
      </c>
      <c r="C15" s="229">
        <f>ORÇAMENTO!M37</f>
        <v>37342.659999999996</v>
      </c>
      <c r="D15" s="181">
        <f>C15/C23</f>
        <v>0.16054587458837255</v>
      </c>
      <c r="E15" s="208">
        <f t="shared" si="0"/>
        <v>0</v>
      </c>
      <c r="F15" s="239">
        <v>0</v>
      </c>
      <c r="G15" s="208">
        <f t="shared" si="1"/>
        <v>0</v>
      </c>
      <c r="H15" s="209">
        <v>0</v>
      </c>
      <c r="I15" s="208">
        <f t="shared" si="2"/>
        <v>0</v>
      </c>
      <c r="J15" s="209">
        <v>0</v>
      </c>
      <c r="K15" s="208">
        <f t="shared" si="3"/>
        <v>12447.553333333331</v>
      </c>
      <c r="L15" s="209">
        <f>1/3</f>
        <v>0.3333333333333333</v>
      </c>
      <c r="M15" s="210">
        <f t="shared" si="4"/>
        <v>12447.553333333331</v>
      </c>
      <c r="N15" s="211">
        <f>1/3</f>
        <v>0.3333333333333333</v>
      </c>
      <c r="O15" s="210">
        <f t="shared" si="5"/>
        <v>12447.553333333331</v>
      </c>
      <c r="P15" s="211">
        <f>1/3</f>
        <v>0.3333333333333333</v>
      </c>
      <c r="Q15" s="231">
        <f t="shared" si="6"/>
        <v>1</v>
      </c>
      <c r="R15" s="31"/>
      <c r="S15" s="31"/>
      <c r="T15" s="31"/>
      <c r="U15" s="31"/>
      <c r="V15" s="31"/>
      <c r="W15" s="6"/>
    </row>
    <row r="16" spans="1:23" ht="14.25">
      <c r="A16" s="197" t="s">
        <v>150</v>
      </c>
      <c r="B16" s="85" t="str">
        <f>ORÇAMENTO!D39</f>
        <v>SERVIÇOS COMPLEMENTARES</v>
      </c>
      <c r="C16" s="229">
        <f>ORÇAMENTO!M41</f>
        <v>3359.58</v>
      </c>
      <c r="D16" s="181">
        <f>C16/C23</f>
        <v>0.01444371422254346</v>
      </c>
      <c r="E16" s="208">
        <f t="shared" si="0"/>
        <v>3359.58</v>
      </c>
      <c r="F16" s="239">
        <f>1</f>
        <v>1</v>
      </c>
      <c r="G16" s="208">
        <f t="shared" si="1"/>
        <v>0</v>
      </c>
      <c r="H16" s="209">
        <v>0</v>
      </c>
      <c r="I16" s="208">
        <f t="shared" si="2"/>
        <v>0</v>
      </c>
      <c r="J16" s="209">
        <v>0</v>
      </c>
      <c r="K16" s="208">
        <f t="shared" si="3"/>
        <v>0</v>
      </c>
      <c r="L16" s="209">
        <v>0</v>
      </c>
      <c r="M16" s="210">
        <f t="shared" si="4"/>
        <v>0</v>
      </c>
      <c r="N16" s="211">
        <v>0</v>
      </c>
      <c r="O16" s="210">
        <f t="shared" si="5"/>
        <v>0</v>
      </c>
      <c r="P16" s="211">
        <v>0</v>
      </c>
      <c r="Q16" s="231">
        <f t="shared" si="6"/>
        <v>1</v>
      </c>
      <c r="R16" s="31"/>
      <c r="S16" s="31"/>
      <c r="T16" s="31"/>
      <c r="U16" s="31"/>
      <c r="V16" s="31"/>
      <c r="W16" s="6"/>
    </row>
    <row r="17" spans="1:23" ht="14.25">
      <c r="A17" s="197" t="s">
        <v>151</v>
      </c>
      <c r="B17" s="85" t="str">
        <f>ORÇAMENTO!D43</f>
        <v>HIDROSSANITÁRIO</v>
      </c>
      <c r="C17" s="229">
        <f>ORÇAMENTO!M50</f>
        <v>6441.419999999999</v>
      </c>
      <c r="D17" s="181">
        <f>C17/C23</f>
        <v>0.027693351450888467</v>
      </c>
      <c r="E17" s="208">
        <f t="shared" si="0"/>
        <v>1073.5699999999997</v>
      </c>
      <c r="F17" s="239">
        <f>1/6</f>
        <v>0.16666666666666666</v>
      </c>
      <c r="G17" s="208">
        <f t="shared" si="1"/>
        <v>1073.5699999999997</v>
      </c>
      <c r="H17" s="209">
        <f>1/6</f>
        <v>0.16666666666666666</v>
      </c>
      <c r="I17" s="208">
        <f t="shared" si="2"/>
        <v>1073.5699999999997</v>
      </c>
      <c r="J17" s="209">
        <f>1/6</f>
        <v>0.16666666666666666</v>
      </c>
      <c r="K17" s="208">
        <f t="shared" si="3"/>
        <v>1073.5699999999997</v>
      </c>
      <c r="L17" s="209">
        <f>1/6</f>
        <v>0.16666666666666666</v>
      </c>
      <c r="M17" s="210">
        <f t="shared" si="4"/>
        <v>1073.5699999999997</v>
      </c>
      <c r="N17" s="211">
        <f>1/6</f>
        <v>0.16666666666666666</v>
      </c>
      <c r="O17" s="210">
        <f t="shared" si="5"/>
        <v>1073.5699999999997</v>
      </c>
      <c r="P17" s="211">
        <f>1/6</f>
        <v>0.16666666666666666</v>
      </c>
      <c r="Q17" s="231">
        <f t="shared" si="6"/>
        <v>0.9999999999999999</v>
      </c>
      <c r="R17" s="31"/>
      <c r="S17" s="31"/>
      <c r="T17" s="31"/>
      <c r="U17" s="31"/>
      <c r="V17" s="31"/>
      <c r="W17" s="6"/>
    </row>
    <row r="18" spans="1:23" ht="28.5">
      <c r="A18" s="197" t="s">
        <v>322</v>
      </c>
      <c r="B18" s="85" t="str">
        <f>ORÇAMENTO!D52</f>
        <v>SISTEMA DE PROTEÇÃO CONTRA DESCARGAS ATMOSFÉRICAS - SPDA</v>
      </c>
      <c r="C18" s="229">
        <f>ORÇAMENTO!M55</f>
        <v>7574.23</v>
      </c>
      <c r="D18" s="181">
        <f>C18/C23</f>
        <v>0.03256359829973251</v>
      </c>
      <c r="E18" s="208">
        <f t="shared" si="0"/>
        <v>3787.115</v>
      </c>
      <c r="F18" s="239">
        <f>1/2</f>
        <v>0.5</v>
      </c>
      <c r="G18" s="208">
        <f t="shared" si="1"/>
        <v>3787.115</v>
      </c>
      <c r="H18" s="209">
        <f>1/2</f>
        <v>0.5</v>
      </c>
      <c r="I18" s="208">
        <f t="shared" si="2"/>
        <v>0</v>
      </c>
      <c r="J18" s="209">
        <v>0</v>
      </c>
      <c r="K18" s="208">
        <f t="shared" si="3"/>
        <v>0</v>
      </c>
      <c r="L18" s="209">
        <v>0</v>
      </c>
      <c r="M18" s="210">
        <f t="shared" si="4"/>
        <v>0</v>
      </c>
      <c r="N18" s="211">
        <v>0</v>
      </c>
      <c r="O18" s="210">
        <f t="shared" si="5"/>
        <v>0</v>
      </c>
      <c r="P18" s="211">
        <v>0</v>
      </c>
      <c r="Q18" s="231">
        <f t="shared" si="6"/>
        <v>1</v>
      </c>
      <c r="R18" s="31"/>
      <c r="S18" s="31"/>
      <c r="T18" s="31"/>
      <c r="U18" s="31"/>
      <c r="V18" s="31"/>
      <c r="W18" s="6"/>
    </row>
    <row r="19" spans="1:23" ht="28.5">
      <c r="A19" s="197" t="s">
        <v>153</v>
      </c>
      <c r="B19" s="85" t="str">
        <f>ORÇAMENTO!D57</f>
        <v>SISTEMA DE CABEAMENTO ESTRUTURADO + INFRAESTRUTURA</v>
      </c>
      <c r="C19" s="229">
        <f>ORÇAMENTO!M86</f>
        <v>35327.85999999999</v>
      </c>
      <c r="D19" s="181">
        <f>C19/C23</f>
        <v>0.1518837217551075</v>
      </c>
      <c r="E19" s="208">
        <f t="shared" si="0"/>
        <v>11775.953333333331</v>
      </c>
      <c r="F19" s="239">
        <f>1/3</f>
        <v>0.3333333333333333</v>
      </c>
      <c r="G19" s="208">
        <f t="shared" si="1"/>
        <v>11775.953333333331</v>
      </c>
      <c r="H19" s="209">
        <f>1/3</f>
        <v>0.3333333333333333</v>
      </c>
      <c r="I19" s="208">
        <f t="shared" si="2"/>
        <v>11775.953333333331</v>
      </c>
      <c r="J19" s="209">
        <f>1/3</f>
        <v>0.3333333333333333</v>
      </c>
      <c r="K19" s="208">
        <f t="shared" si="3"/>
        <v>0</v>
      </c>
      <c r="L19" s="209">
        <v>0</v>
      </c>
      <c r="M19" s="210">
        <f t="shared" si="4"/>
        <v>0</v>
      </c>
      <c r="N19" s="211">
        <v>0</v>
      </c>
      <c r="O19" s="210">
        <f t="shared" si="5"/>
        <v>0</v>
      </c>
      <c r="P19" s="211">
        <v>0</v>
      </c>
      <c r="Q19" s="231">
        <f t="shared" si="6"/>
        <v>1</v>
      </c>
      <c r="R19" s="31"/>
      <c r="S19" s="31"/>
      <c r="T19" s="31"/>
      <c r="U19" s="31"/>
      <c r="V19" s="31"/>
      <c r="W19" s="6"/>
    </row>
    <row r="20" spans="1:23" ht="28.5">
      <c r="A20" s="197" t="s">
        <v>154</v>
      </c>
      <c r="B20" s="85" t="str">
        <f>ORÇAMENTO!D88</f>
        <v>INSTALAÇÕES ELÉTRICAS BAIXA TENSÃO</v>
      </c>
      <c r="C20" s="229">
        <f>ORÇAMENTO!M93</f>
        <v>53854.130000000005</v>
      </c>
      <c r="D20" s="181">
        <f>C20/C23</f>
        <v>0.23153300812116528</v>
      </c>
      <c r="E20" s="208">
        <f t="shared" si="0"/>
        <v>17951.376666666667</v>
      </c>
      <c r="F20" s="239">
        <f>1/3</f>
        <v>0.3333333333333333</v>
      </c>
      <c r="G20" s="208">
        <f t="shared" si="1"/>
        <v>17951.376666666667</v>
      </c>
      <c r="H20" s="209">
        <f>1/3</f>
        <v>0.3333333333333333</v>
      </c>
      <c r="I20" s="208">
        <f t="shared" si="2"/>
        <v>17951.376666666667</v>
      </c>
      <c r="J20" s="209">
        <f>1/3</f>
        <v>0.3333333333333333</v>
      </c>
      <c r="K20" s="208">
        <f t="shared" si="3"/>
        <v>0</v>
      </c>
      <c r="L20" s="209">
        <v>0</v>
      </c>
      <c r="M20" s="210">
        <f t="shared" si="4"/>
        <v>0</v>
      </c>
      <c r="N20" s="211">
        <v>0</v>
      </c>
      <c r="O20" s="210">
        <f t="shared" si="5"/>
        <v>0</v>
      </c>
      <c r="P20" s="211">
        <v>0</v>
      </c>
      <c r="Q20" s="231">
        <f t="shared" si="6"/>
        <v>1</v>
      </c>
      <c r="R20" s="31"/>
      <c r="S20" s="31"/>
      <c r="T20" s="31"/>
      <c r="U20" s="31"/>
      <c r="V20" s="31"/>
      <c r="W20" s="6"/>
    </row>
    <row r="21" spans="1:23" ht="28.5">
      <c r="A21" s="197" t="s">
        <v>155</v>
      </c>
      <c r="B21" s="85" t="str">
        <f>ORÇAMENTO!D95</f>
        <v>PREVENÇÃO E COMBATE CONTRA INCÊNDIO E PÂNICO</v>
      </c>
      <c r="C21" s="229">
        <f>ORÇAMENTO!M114</f>
        <v>8255.17</v>
      </c>
      <c r="D21" s="181">
        <f>C21/C23</f>
        <v>0.03549113768343486</v>
      </c>
      <c r="E21" s="208">
        <f t="shared" si="0"/>
        <v>825.517</v>
      </c>
      <c r="F21" s="239">
        <f>1/10</f>
        <v>0.1</v>
      </c>
      <c r="G21" s="208">
        <f t="shared" si="1"/>
        <v>0</v>
      </c>
      <c r="H21" s="209">
        <v>0</v>
      </c>
      <c r="I21" s="208">
        <f t="shared" si="2"/>
        <v>0</v>
      </c>
      <c r="J21" s="209">
        <v>0</v>
      </c>
      <c r="K21" s="208">
        <f t="shared" si="3"/>
        <v>0</v>
      </c>
      <c r="L21" s="209">
        <v>0</v>
      </c>
      <c r="M21" s="210">
        <f t="shared" si="4"/>
        <v>0</v>
      </c>
      <c r="N21" s="211">
        <v>0</v>
      </c>
      <c r="O21" s="210">
        <f t="shared" si="5"/>
        <v>7429.653</v>
      </c>
      <c r="P21" s="211">
        <v>0.9</v>
      </c>
      <c r="Q21" s="231">
        <f t="shared" si="6"/>
        <v>1</v>
      </c>
      <c r="R21" s="31"/>
      <c r="S21" s="31"/>
      <c r="T21" s="31"/>
      <c r="U21" s="31"/>
      <c r="V21" s="31"/>
      <c r="W21" s="6"/>
    </row>
    <row r="22" spans="1:23" ht="15" thickBot="1">
      <c r="A22" s="219" t="s">
        <v>383</v>
      </c>
      <c r="B22" s="220" t="str">
        <f>ORÇAMENTO!D116</f>
        <v>LIMPEZA</v>
      </c>
      <c r="C22" s="230">
        <f>ORÇAMENTO!M119</f>
        <v>2247.86</v>
      </c>
      <c r="D22" s="221">
        <f>C22/C23</f>
        <v>0.009664138806721834</v>
      </c>
      <c r="E22" s="208">
        <f t="shared" si="0"/>
        <v>0</v>
      </c>
      <c r="F22" s="239">
        <v>0</v>
      </c>
      <c r="G22" s="208">
        <f t="shared" si="1"/>
        <v>0</v>
      </c>
      <c r="H22" s="209">
        <v>0</v>
      </c>
      <c r="I22" s="208">
        <f t="shared" si="2"/>
        <v>0</v>
      </c>
      <c r="J22" s="209">
        <v>0</v>
      </c>
      <c r="K22" s="208">
        <f t="shared" si="3"/>
        <v>0</v>
      </c>
      <c r="L22" s="209">
        <v>0</v>
      </c>
      <c r="M22" s="210">
        <f t="shared" si="4"/>
        <v>0</v>
      </c>
      <c r="N22" s="211">
        <v>0</v>
      </c>
      <c r="O22" s="210">
        <f t="shared" si="5"/>
        <v>2247.86</v>
      </c>
      <c r="P22" s="211">
        <v>1</v>
      </c>
      <c r="Q22" s="231">
        <f t="shared" si="6"/>
        <v>1</v>
      </c>
      <c r="R22" s="31"/>
      <c r="S22" s="31"/>
      <c r="T22" s="31"/>
      <c r="U22" s="31"/>
      <c r="V22" s="31"/>
      <c r="W22" s="6"/>
    </row>
    <row r="23" spans="1:23" s="7" customFormat="1" ht="14.25">
      <c r="A23" s="222"/>
      <c r="B23" s="223" t="s">
        <v>15</v>
      </c>
      <c r="C23" s="224">
        <f>SUM(C10:C22)</f>
        <v>232598.066414</v>
      </c>
      <c r="D23" s="225">
        <f>SUM(D10:D22)</f>
        <v>0.9999999999999998</v>
      </c>
      <c r="E23" s="224">
        <f>SUM(E10:E22)</f>
        <v>70166.85473566667</v>
      </c>
      <c r="F23" s="226">
        <f>E23/C23</f>
        <v>0.30166568371543157</v>
      </c>
      <c r="G23" s="224">
        <f>SUM(G10:G22)</f>
        <v>65442.98773566667</v>
      </c>
      <c r="H23" s="226">
        <f>G23/C23</f>
        <v>0.2813565424021413</v>
      </c>
      <c r="I23" s="224">
        <f>SUM(I10:I22)</f>
        <v>40617.567735666664</v>
      </c>
      <c r="J23" s="226">
        <f>I23/C23</f>
        <v>0.17462556057268197</v>
      </c>
      <c r="K23" s="224">
        <f>SUM(K10:K22)</f>
        <v>17712.37440233333</v>
      </c>
      <c r="L23" s="226">
        <f>K23/C23</f>
        <v>0.07615013604974331</v>
      </c>
      <c r="M23" s="224">
        <f>SUM(M10:M22)</f>
        <v>14490.384402333331</v>
      </c>
      <c r="N23" s="226">
        <f>M23/C23</f>
        <v>0.0622979572690943</v>
      </c>
      <c r="O23" s="224">
        <f>SUM(O10:O22)</f>
        <v>24167.897402333332</v>
      </c>
      <c r="P23" s="226">
        <f>O23/C23</f>
        <v>0.10390411999090751</v>
      </c>
      <c r="Q23" s="227"/>
      <c r="R23" s="31"/>
      <c r="S23" s="31"/>
      <c r="T23" s="31"/>
      <c r="U23" s="31"/>
      <c r="V23" s="31"/>
      <c r="W23" s="8"/>
    </row>
    <row r="24" spans="1:22" s="7" customFormat="1" ht="15" thickBot="1">
      <c r="A24" s="198"/>
      <c r="B24" s="199" t="s">
        <v>16</v>
      </c>
      <c r="C24" s="200"/>
      <c r="D24" s="201"/>
      <c r="E24" s="202">
        <f>E23</f>
        <v>70166.85473566667</v>
      </c>
      <c r="F24" s="203">
        <f>+E24/C23</f>
        <v>0.30166568371543157</v>
      </c>
      <c r="G24" s="202">
        <f>+G23+E24</f>
        <v>135609.84247133334</v>
      </c>
      <c r="H24" s="203">
        <f>SUM(F24,H23)</f>
        <v>0.5830222261175728</v>
      </c>
      <c r="I24" s="202">
        <f>+I23+G24</f>
        <v>176227.410207</v>
      </c>
      <c r="J24" s="203">
        <f>SUM(H24,J23)</f>
        <v>0.7576477866902548</v>
      </c>
      <c r="K24" s="204">
        <f>+K23+I24</f>
        <v>193939.78460933335</v>
      </c>
      <c r="L24" s="203">
        <f>SUM(J24,L23)</f>
        <v>0.8337979227399981</v>
      </c>
      <c r="M24" s="204">
        <f>+M23+K24</f>
        <v>208430.16901166667</v>
      </c>
      <c r="N24" s="203">
        <f>SUM(L24,N23)</f>
        <v>0.8960958800090923</v>
      </c>
      <c r="O24" s="204">
        <f>+O23+M24</f>
        <v>232598.066414</v>
      </c>
      <c r="P24" s="203">
        <f>SUM(N24,P23)</f>
        <v>0.9999999999999999</v>
      </c>
      <c r="Q24" s="205"/>
      <c r="R24" s="11"/>
      <c r="S24" s="11"/>
      <c r="T24" s="11"/>
      <c r="U24" s="11"/>
      <c r="V24" s="11"/>
    </row>
    <row r="34" spans="2:13" ht="13.5">
      <c r="B34" s="480"/>
      <c r="C34" s="480"/>
      <c r="D34" s="480"/>
      <c r="E34" s="480"/>
      <c r="G34" s="7"/>
      <c r="H34" s="480"/>
      <c r="I34" s="480"/>
      <c r="J34" s="480"/>
      <c r="K34" s="480"/>
      <c r="L34" s="480"/>
      <c r="M34" s="480"/>
    </row>
    <row r="35" spans="7:13" ht="13.5">
      <c r="G35" s="182"/>
      <c r="H35" s="480"/>
      <c r="I35" s="480"/>
      <c r="J35" s="480"/>
      <c r="K35" s="480"/>
      <c r="L35" s="480"/>
      <c r="M35" s="480"/>
    </row>
    <row r="36" spans="7:13" ht="13.5">
      <c r="G36" s="182"/>
      <c r="H36" s="480"/>
      <c r="I36" s="480"/>
      <c r="J36" s="480"/>
      <c r="K36" s="480"/>
      <c r="L36" s="480"/>
      <c r="M36" s="480"/>
    </row>
    <row r="37" spans="7:13" ht="13.5">
      <c r="G37" s="182"/>
      <c r="H37" s="480"/>
      <c r="I37" s="480"/>
      <c r="J37" s="480"/>
      <c r="K37" s="480"/>
      <c r="L37" s="480"/>
      <c r="M37" s="480"/>
    </row>
  </sheetData>
  <sheetProtection/>
  <mergeCells count="21">
    <mergeCell ref="C7:D8"/>
    <mergeCell ref="H37:M37"/>
    <mergeCell ref="H34:M34"/>
    <mergeCell ref="B34:E34"/>
    <mergeCell ref="H36:M36"/>
    <mergeCell ref="E7:Q7"/>
    <mergeCell ref="K8:L8"/>
    <mergeCell ref="O8:P8"/>
    <mergeCell ref="M8:N8"/>
    <mergeCell ref="H35:M35"/>
    <mergeCell ref="G8:H8"/>
    <mergeCell ref="A1:Q1"/>
    <mergeCell ref="B3:Q3"/>
    <mergeCell ref="N4:P5"/>
    <mergeCell ref="Q4:Q5"/>
    <mergeCell ref="B5:M5"/>
    <mergeCell ref="I8:J8"/>
    <mergeCell ref="B4:M4"/>
    <mergeCell ref="E8:F8"/>
    <mergeCell ref="A7:A9"/>
    <mergeCell ref="B7:B9"/>
  </mergeCells>
  <printOptions horizontalCentered="1"/>
  <pageMargins left="0" right="0" top="1.1811023622047245" bottom="0.984251968503937" header="0.5118110236220472" footer="0.5118110236220472"/>
  <pageSetup fitToHeight="0" fitToWidth="1"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I428"/>
  <sheetViews>
    <sheetView zoomScalePageLayoutView="0" workbookViewId="0" topLeftCell="A384">
      <selection activeCell="A1" sqref="A1:G428"/>
    </sheetView>
  </sheetViews>
  <sheetFormatPr defaultColWidth="9.140625" defaultRowHeight="12.75"/>
  <cols>
    <col min="1" max="1" width="13.8515625" style="332" bestFit="1" customWidth="1"/>
    <col min="2" max="2" width="8.57421875" style="269" customWidth="1"/>
    <col min="3" max="3" width="81.28125" style="269" customWidth="1"/>
    <col min="4" max="4" width="10.8515625" style="269" bestFit="1" customWidth="1"/>
    <col min="5" max="5" width="9.57421875" style="269" bestFit="1" customWidth="1"/>
    <col min="6" max="6" width="12.28125" style="269" bestFit="1" customWidth="1"/>
    <col min="7" max="7" width="13.7109375" style="269" bestFit="1" customWidth="1"/>
    <col min="8" max="8" width="8.8515625" style="269" customWidth="1"/>
    <col min="9" max="9" width="10.28125" style="269" bestFit="1" customWidth="1"/>
    <col min="10" max="16384" width="9.140625" style="315" customWidth="1"/>
  </cols>
  <sheetData>
    <row r="1" spans="1:9" ht="15" customHeight="1">
      <c r="A1" s="314" t="s">
        <v>17</v>
      </c>
      <c r="B1" s="519" t="s">
        <v>333</v>
      </c>
      <c r="C1" s="520"/>
      <c r="D1" s="520"/>
      <c r="E1" s="520"/>
      <c r="F1" s="520"/>
      <c r="G1" s="521"/>
      <c r="H1" s="270"/>
      <c r="I1" s="232"/>
    </row>
    <row r="2" spans="1:9" ht="15" customHeight="1">
      <c r="A2" s="314" t="s">
        <v>18</v>
      </c>
      <c r="B2" s="316" t="s">
        <v>424</v>
      </c>
      <c r="C2" s="262"/>
      <c r="D2" s="262"/>
      <c r="E2" s="262"/>
      <c r="F2" s="262"/>
      <c r="G2" s="262"/>
      <c r="H2" s="262"/>
      <c r="I2" s="317"/>
    </row>
    <row r="3" spans="1:9" ht="15" customHeight="1">
      <c r="A3" s="314" t="s">
        <v>19</v>
      </c>
      <c r="B3" s="522" t="s">
        <v>63</v>
      </c>
      <c r="C3" s="523"/>
      <c r="D3" s="523"/>
      <c r="E3" s="523"/>
      <c r="F3" s="523"/>
      <c r="G3" s="524"/>
      <c r="H3" s="271"/>
      <c r="I3" s="232"/>
    </row>
    <row r="4" spans="1:9" ht="13.5" thickBot="1">
      <c r="A4" s="318"/>
      <c r="B4" s="263"/>
      <c r="C4" s="319"/>
      <c r="D4" s="263"/>
      <c r="E4" s="263"/>
      <c r="F4" s="263"/>
      <c r="G4" s="263"/>
      <c r="H4" s="233"/>
      <c r="I4" s="234"/>
    </row>
    <row r="5" spans="1:9" ht="13.5" thickBot="1">
      <c r="A5" s="525" t="s">
        <v>432</v>
      </c>
      <c r="B5" s="526"/>
      <c r="C5" s="526"/>
      <c r="D5" s="526"/>
      <c r="E5" s="526"/>
      <c r="F5" s="526"/>
      <c r="G5" s="527"/>
      <c r="H5" s="272"/>
      <c r="I5" s="320"/>
    </row>
    <row r="6" spans="1:9" ht="13.5">
      <c r="A6" s="321"/>
      <c r="B6" s="264"/>
      <c r="C6" s="264"/>
      <c r="D6" s="264"/>
      <c r="E6" s="264"/>
      <c r="F6" s="352" t="s">
        <v>554</v>
      </c>
      <c r="G6" s="334">
        <f>ORÇAMENTO!O3</f>
        <v>0.425</v>
      </c>
      <c r="H6" s="272"/>
      <c r="I6" s="320"/>
    </row>
    <row r="7" spans="1:9" ht="12.75">
      <c r="A7" s="240"/>
      <c r="B7" s="241"/>
      <c r="C7" s="241"/>
      <c r="D7" s="241"/>
      <c r="E7" s="241"/>
      <c r="F7" s="241"/>
      <c r="G7" s="243"/>
      <c r="H7" s="272"/>
      <c r="I7" s="320"/>
    </row>
    <row r="8" spans="1:9" ht="12.75">
      <c r="A8" s="240"/>
      <c r="B8" s="241"/>
      <c r="C8" s="242"/>
      <c r="D8" s="241"/>
      <c r="E8" s="241"/>
      <c r="F8" s="243"/>
      <c r="G8" s="244"/>
      <c r="H8" s="273"/>
      <c r="I8" s="322"/>
    </row>
    <row r="9" spans="1:9" ht="12.75">
      <c r="A9" s="245" t="s">
        <v>37</v>
      </c>
      <c r="B9" s="246"/>
      <c r="C9" s="247" t="s">
        <v>55</v>
      </c>
      <c r="D9" s="245" t="s">
        <v>433</v>
      </c>
      <c r="E9" s="248" t="s">
        <v>434</v>
      </c>
      <c r="F9" s="249" t="s">
        <v>435</v>
      </c>
      <c r="G9" s="250" t="s">
        <v>436</v>
      </c>
      <c r="H9" s="273"/>
      <c r="I9" s="323"/>
    </row>
    <row r="10" spans="1:9" ht="12.75" customHeight="1">
      <c r="A10" s="251" t="s">
        <v>45</v>
      </c>
      <c r="B10" s="252"/>
      <c r="C10" s="253" t="s">
        <v>394</v>
      </c>
      <c r="D10" s="254" t="s">
        <v>42</v>
      </c>
      <c r="E10" s="255">
        <v>1</v>
      </c>
      <c r="F10" s="256"/>
      <c r="G10" s="250"/>
      <c r="H10" s="273"/>
      <c r="I10" s="324"/>
    </row>
    <row r="11" spans="1:9" ht="12.75">
      <c r="A11" s="257"/>
      <c r="B11" s="336">
        <v>11795</v>
      </c>
      <c r="C11" s="341" t="s">
        <v>442</v>
      </c>
      <c r="D11" s="336" t="s">
        <v>438</v>
      </c>
      <c r="E11" s="347">
        <v>0.55</v>
      </c>
      <c r="F11" s="258">
        <v>483.01</v>
      </c>
      <c r="G11" s="258">
        <f>TRUNC((E11*F11),2)</f>
        <v>265.65</v>
      </c>
      <c r="H11" s="273"/>
      <c r="I11" s="325"/>
    </row>
    <row r="12" spans="1:9" ht="12.75">
      <c r="A12" s="257"/>
      <c r="B12" s="259">
        <v>1380</v>
      </c>
      <c r="C12" s="260" t="s">
        <v>440</v>
      </c>
      <c r="D12" s="344" t="s">
        <v>28</v>
      </c>
      <c r="E12" s="348">
        <v>0.7</v>
      </c>
      <c r="F12" s="258">
        <v>3.34</v>
      </c>
      <c r="G12" s="258">
        <f>TRUNC((E12*F12),2)</f>
        <v>2.33</v>
      </c>
      <c r="H12" s="273"/>
      <c r="I12" s="326"/>
    </row>
    <row r="13" spans="1:9" ht="12.75">
      <c r="A13" s="257"/>
      <c r="B13" s="259">
        <v>88242</v>
      </c>
      <c r="C13" s="260" t="s">
        <v>514</v>
      </c>
      <c r="D13" s="344" t="s">
        <v>60</v>
      </c>
      <c r="E13" s="348">
        <v>1.5</v>
      </c>
      <c r="F13" s="258">
        <v>14.91</v>
      </c>
      <c r="G13" s="258">
        <f>TRUNC((E13*F13),2)</f>
        <v>22.36</v>
      </c>
      <c r="H13" s="273"/>
      <c r="I13" s="322"/>
    </row>
    <row r="14" spans="1:9" ht="12.75">
      <c r="A14" s="257"/>
      <c r="B14" s="259">
        <v>88274</v>
      </c>
      <c r="C14" s="260" t="s">
        <v>515</v>
      </c>
      <c r="D14" s="344" t="s">
        <v>60</v>
      </c>
      <c r="E14" s="348">
        <v>1.5</v>
      </c>
      <c r="F14" s="258">
        <v>19.08</v>
      </c>
      <c r="G14" s="258">
        <f>TRUNC((E14*F14),2)</f>
        <v>28.62</v>
      </c>
      <c r="H14" s="273"/>
      <c r="I14" s="322"/>
    </row>
    <row r="15" spans="1:9" ht="12.75" customHeight="1">
      <c r="A15" s="516" t="s">
        <v>437</v>
      </c>
      <c r="B15" s="517"/>
      <c r="C15" s="517"/>
      <c r="D15" s="517"/>
      <c r="E15" s="517"/>
      <c r="F15" s="518"/>
      <c r="G15" s="244">
        <f>SUM(G11:G14)</f>
        <v>318.96</v>
      </c>
      <c r="H15" s="273"/>
      <c r="I15" s="322"/>
    </row>
    <row r="16" spans="1:9" ht="12.75">
      <c r="A16" s="240"/>
      <c r="B16" s="241"/>
      <c r="C16" s="242"/>
      <c r="D16" s="241"/>
      <c r="E16" s="241"/>
      <c r="F16" s="241"/>
      <c r="G16" s="261"/>
      <c r="H16" s="273"/>
      <c r="I16" s="322"/>
    </row>
    <row r="17" spans="1:9" ht="12.75">
      <c r="A17" s="265"/>
      <c r="B17" s="265"/>
      <c r="C17" s="265"/>
      <c r="D17" s="265"/>
      <c r="E17" s="265"/>
      <c r="F17" s="265"/>
      <c r="G17" s="282"/>
      <c r="H17" s="273"/>
      <c r="I17" s="320"/>
    </row>
    <row r="18" spans="1:9" ht="12.75">
      <c r="A18" s="245" t="s">
        <v>37</v>
      </c>
      <c r="B18" s="257" t="s">
        <v>102</v>
      </c>
      <c r="C18" s="247" t="s">
        <v>55</v>
      </c>
      <c r="D18" s="245" t="s">
        <v>433</v>
      </c>
      <c r="E18" s="248" t="s">
        <v>434</v>
      </c>
      <c r="F18" s="249" t="s">
        <v>435</v>
      </c>
      <c r="G18" s="250" t="s">
        <v>436</v>
      </c>
      <c r="H18" s="273"/>
      <c r="I18" s="323"/>
    </row>
    <row r="19" spans="1:9" ht="12.75">
      <c r="A19" s="274" t="s">
        <v>323</v>
      </c>
      <c r="B19" s="275"/>
      <c r="C19" s="276" t="s">
        <v>131</v>
      </c>
      <c r="D19" s="277" t="s">
        <v>21</v>
      </c>
      <c r="E19" s="278">
        <v>1</v>
      </c>
      <c r="F19" s="266"/>
      <c r="G19" s="250"/>
      <c r="H19" s="273"/>
      <c r="I19" s="327"/>
    </row>
    <row r="20" spans="1:9" ht="12.75">
      <c r="A20" s="257"/>
      <c r="B20" s="279">
        <v>863</v>
      </c>
      <c r="C20" s="260" t="s">
        <v>443</v>
      </c>
      <c r="D20" s="259" t="s">
        <v>38</v>
      </c>
      <c r="E20" s="280">
        <v>1</v>
      </c>
      <c r="F20" s="258">
        <v>21.31</v>
      </c>
      <c r="G20" s="258">
        <f>TRUNC((E20*F20),2)</f>
        <v>21.31</v>
      </c>
      <c r="H20" s="273"/>
      <c r="I20" s="326"/>
    </row>
    <row r="21" spans="1:9" ht="14.25">
      <c r="A21" s="257"/>
      <c r="B21" s="337">
        <v>88264</v>
      </c>
      <c r="C21" s="260" t="s">
        <v>516</v>
      </c>
      <c r="D21" s="259" t="s">
        <v>36</v>
      </c>
      <c r="E21" s="280">
        <v>0.25</v>
      </c>
      <c r="F21" s="120">
        <v>19.52</v>
      </c>
      <c r="G21" s="258">
        <f>TRUNC((E21*F21),2)</f>
        <v>4.88</v>
      </c>
      <c r="H21" s="273"/>
      <c r="I21" s="322"/>
    </row>
    <row r="22" spans="1:9" ht="14.25">
      <c r="A22" s="257"/>
      <c r="B22" s="279">
        <v>88247</v>
      </c>
      <c r="C22" s="260" t="s">
        <v>517</v>
      </c>
      <c r="D22" s="344" t="s">
        <v>60</v>
      </c>
      <c r="E22" s="348">
        <v>0.25</v>
      </c>
      <c r="F22" s="120">
        <v>14.84</v>
      </c>
      <c r="G22" s="258">
        <f>TRUNC((E22*F22),2)</f>
        <v>3.71</v>
      </c>
      <c r="H22" s="273"/>
      <c r="I22" s="322"/>
    </row>
    <row r="23" spans="1:9" ht="12.75">
      <c r="A23" s="516" t="s">
        <v>437</v>
      </c>
      <c r="B23" s="517"/>
      <c r="C23" s="517"/>
      <c r="D23" s="517"/>
      <c r="E23" s="517"/>
      <c r="F23" s="518"/>
      <c r="G23" s="244">
        <f>SUM(G20:G22)</f>
        <v>29.9</v>
      </c>
      <c r="H23" s="273"/>
      <c r="I23" s="322"/>
    </row>
    <row r="24" spans="1:9" ht="12.75">
      <c r="A24" s="240"/>
      <c r="B24" s="241"/>
      <c r="C24" s="242"/>
      <c r="D24" s="241"/>
      <c r="E24" s="267"/>
      <c r="F24" s="267"/>
      <c r="G24" s="261"/>
      <c r="H24" s="273"/>
      <c r="I24" s="322"/>
    </row>
    <row r="25" spans="1:9" ht="12.75">
      <c r="A25" s="240"/>
      <c r="B25" s="241"/>
      <c r="C25" s="242"/>
      <c r="D25" s="241"/>
      <c r="E25" s="267"/>
      <c r="F25" s="267"/>
      <c r="G25" s="261"/>
      <c r="H25" s="273"/>
      <c r="I25" s="322"/>
    </row>
    <row r="26" spans="1:9" ht="12.75">
      <c r="A26" s="245" t="s">
        <v>37</v>
      </c>
      <c r="B26" s="257" t="s">
        <v>102</v>
      </c>
      <c r="C26" s="247" t="s">
        <v>55</v>
      </c>
      <c r="D26" s="245" t="s">
        <v>433</v>
      </c>
      <c r="E26" s="248" t="s">
        <v>434</v>
      </c>
      <c r="F26" s="249" t="s">
        <v>435</v>
      </c>
      <c r="G26" s="250" t="s">
        <v>436</v>
      </c>
      <c r="H26" s="273"/>
      <c r="I26" s="323"/>
    </row>
    <row r="27" spans="1:9" ht="25.5">
      <c r="A27" s="251" t="s">
        <v>324</v>
      </c>
      <c r="B27" s="252"/>
      <c r="C27" s="253" t="s">
        <v>277</v>
      </c>
      <c r="D27" s="254" t="s">
        <v>106</v>
      </c>
      <c r="E27" s="255">
        <v>1</v>
      </c>
      <c r="F27" s="256"/>
      <c r="G27" s="250"/>
      <c r="H27" s="273"/>
      <c r="I27" s="327"/>
    </row>
    <row r="28" spans="1:9" ht="24.75">
      <c r="A28" s="257"/>
      <c r="B28" s="279">
        <v>1570</v>
      </c>
      <c r="C28" s="260" t="s">
        <v>518</v>
      </c>
      <c r="D28" s="259" t="s">
        <v>57</v>
      </c>
      <c r="E28" s="280">
        <v>1</v>
      </c>
      <c r="F28" s="258">
        <v>0.7</v>
      </c>
      <c r="G28" s="258">
        <f>TRUNC((E28*F28),2)</f>
        <v>0.7</v>
      </c>
      <c r="H28" s="273"/>
      <c r="I28" s="326"/>
    </row>
    <row r="29" spans="1:9" ht="12.75">
      <c r="A29" s="257"/>
      <c r="B29" s="337">
        <f>$B$21</f>
        <v>88264</v>
      </c>
      <c r="C29" s="260" t="s">
        <v>250</v>
      </c>
      <c r="D29" s="259" t="s">
        <v>36</v>
      </c>
      <c r="E29" s="280">
        <v>0.12</v>
      </c>
      <c r="F29" s="258">
        <f>$F$21</f>
        <v>19.52</v>
      </c>
      <c r="G29" s="258">
        <f>TRUNC((E29*F29),2)</f>
        <v>2.34</v>
      </c>
      <c r="H29" s="273"/>
      <c r="I29" s="322"/>
    </row>
    <row r="30" spans="1:9" ht="12.75">
      <c r="A30" s="257"/>
      <c r="B30" s="279">
        <f>$B$22</f>
        <v>88247</v>
      </c>
      <c r="C30" s="260" t="s">
        <v>284</v>
      </c>
      <c r="D30" s="344" t="s">
        <v>60</v>
      </c>
      <c r="E30" s="348">
        <v>0.12</v>
      </c>
      <c r="F30" s="258">
        <f>$F$22</f>
        <v>14.84</v>
      </c>
      <c r="G30" s="258">
        <f>TRUNC((E30*F30),2)</f>
        <v>1.78</v>
      </c>
      <c r="H30" s="273"/>
      <c r="I30" s="322"/>
    </row>
    <row r="31" spans="1:9" ht="12.75">
      <c r="A31" s="516" t="s">
        <v>437</v>
      </c>
      <c r="B31" s="517"/>
      <c r="C31" s="517"/>
      <c r="D31" s="517"/>
      <c r="E31" s="517"/>
      <c r="F31" s="518"/>
      <c r="G31" s="244">
        <f>SUM(G28:G30)</f>
        <v>4.82</v>
      </c>
      <c r="H31" s="273"/>
      <c r="I31" s="322"/>
    </row>
    <row r="32" spans="1:9" ht="12.75">
      <c r="A32" s="240"/>
      <c r="B32" s="241"/>
      <c r="C32" s="242"/>
      <c r="D32" s="241"/>
      <c r="E32" s="241"/>
      <c r="F32" s="241"/>
      <c r="G32" s="261"/>
      <c r="H32" s="273"/>
      <c r="I32" s="322"/>
    </row>
    <row r="33" spans="1:9" ht="12.75">
      <c r="A33" s="245" t="s">
        <v>37</v>
      </c>
      <c r="B33" s="257" t="s">
        <v>102</v>
      </c>
      <c r="C33" s="247" t="s">
        <v>55</v>
      </c>
      <c r="D33" s="245" t="s">
        <v>433</v>
      </c>
      <c r="E33" s="248" t="s">
        <v>434</v>
      </c>
      <c r="F33" s="249" t="s">
        <v>435</v>
      </c>
      <c r="G33" s="250" t="s">
        <v>436</v>
      </c>
      <c r="H33" s="273"/>
      <c r="I33" s="323"/>
    </row>
    <row r="34" spans="1:9" ht="12.75">
      <c r="A34" s="251" t="s">
        <v>318</v>
      </c>
      <c r="B34" s="252"/>
      <c r="C34" s="253" t="s">
        <v>326</v>
      </c>
      <c r="D34" s="254" t="s">
        <v>170</v>
      </c>
      <c r="E34" s="255">
        <v>1</v>
      </c>
      <c r="F34" s="256"/>
      <c r="G34" s="250"/>
      <c r="H34" s="273"/>
      <c r="I34" s="327"/>
    </row>
    <row r="35" spans="1:9" ht="12.75">
      <c r="A35" s="257"/>
      <c r="B35" s="279"/>
      <c r="C35" s="260" t="s">
        <v>444</v>
      </c>
      <c r="D35" s="259" t="s">
        <v>57</v>
      </c>
      <c r="E35" s="280">
        <v>1</v>
      </c>
      <c r="F35" s="258">
        <f>968.75*(1+G6)</f>
        <v>1380.46875</v>
      </c>
      <c r="G35" s="258">
        <f>TRUNC((E35*F35),2)</f>
        <v>1380.46</v>
      </c>
      <c r="H35" s="273"/>
      <c r="I35" s="326"/>
    </row>
    <row r="36" spans="1:9" ht="12.75">
      <c r="A36" s="257"/>
      <c r="B36" s="337">
        <f>$B$21</f>
        <v>88264</v>
      </c>
      <c r="C36" s="260" t="s">
        <v>250</v>
      </c>
      <c r="D36" s="259" t="s">
        <v>36</v>
      </c>
      <c r="E36" s="280">
        <v>16</v>
      </c>
      <c r="F36" s="258">
        <f>$F$21</f>
        <v>19.52</v>
      </c>
      <c r="G36" s="258">
        <f>TRUNC((E36*F36),2)</f>
        <v>312.32</v>
      </c>
      <c r="H36" s="273"/>
      <c r="I36" s="322"/>
    </row>
    <row r="37" spans="1:9" ht="12.75">
      <c r="A37" s="257"/>
      <c r="B37" s="279">
        <v>88247</v>
      </c>
      <c r="C37" s="260" t="s">
        <v>284</v>
      </c>
      <c r="D37" s="344" t="s">
        <v>60</v>
      </c>
      <c r="E37" s="348">
        <v>16</v>
      </c>
      <c r="F37" s="258">
        <f>$F$22</f>
        <v>14.84</v>
      </c>
      <c r="G37" s="258">
        <f>TRUNC((E37*F37),2)</f>
        <v>237.44</v>
      </c>
      <c r="H37" s="273"/>
      <c r="I37" s="322"/>
    </row>
    <row r="38" spans="1:9" ht="12.75">
      <c r="A38" s="516" t="s">
        <v>437</v>
      </c>
      <c r="B38" s="517"/>
      <c r="C38" s="517"/>
      <c r="D38" s="517"/>
      <c r="E38" s="517"/>
      <c r="F38" s="518"/>
      <c r="G38" s="244">
        <f>SUM(G35:G37)</f>
        <v>1930.22</v>
      </c>
      <c r="H38" s="273"/>
      <c r="I38" s="322"/>
    </row>
    <row r="39" spans="1:9" ht="12.75">
      <c r="A39" s="265"/>
      <c r="B39" s="265"/>
      <c r="C39" s="265"/>
      <c r="D39" s="265"/>
      <c r="E39" s="265"/>
      <c r="F39" s="265"/>
      <c r="G39" s="282"/>
      <c r="H39" s="273"/>
      <c r="I39" s="322"/>
    </row>
    <row r="40" spans="1:9" ht="12.75">
      <c r="A40" s="245" t="s">
        <v>37</v>
      </c>
      <c r="B40" s="257" t="s">
        <v>102</v>
      </c>
      <c r="C40" s="247" t="s">
        <v>55</v>
      </c>
      <c r="D40" s="245" t="s">
        <v>433</v>
      </c>
      <c r="E40" s="248" t="s">
        <v>434</v>
      </c>
      <c r="F40" s="249" t="s">
        <v>435</v>
      </c>
      <c r="G40" s="250" t="s">
        <v>436</v>
      </c>
      <c r="H40" s="273"/>
      <c r="I40" s="323"/>
    </row>
    <row r="41" spans="1:9" ht="25.5">
      <c r="A41" s="251" t="s">
        <v>319</v>
      </c>
      <c r="B41" s="252"/>
      <c r="C41" s="253" t="s">
        <v>239</v>
      </c>
      <c r="D41" s="254" t="s">
        <v>170</v>
      </c>
      <c r="E41" s="255">
        <v>1</v>
      </c>
      <c r="F41" s="256"/>
      <c r="G41" s="250"/>
      <c r="H41" s="273"/>
      <c r="I41" s="327"/>
    </row>
    <row r="42" spans="1:9" ht="12.75">
      <c r="A42" s="257"/>
      <c r="B42" s="279"/>
      <c r="C42" s="260" t="s">
        <v>251</v>
      </c>
      <c r="D42" s="259" t="s">
        <v>57</v>
      </c>
      <c r="E42" s="280">
        <v>1</v>
      </c>
      <c r="F42" s="258">
        <f>211.69*(1+G6)</f>
        <v>301.65825</v>
      </c>
      <c r="G42" s="258">
        <f>TRUNC((E42*F42),2)</f>
        <v>301.65</v>
      </c>
      <c r="H42" s="273"/>
      <c r="I42" s="326"/>
    </row>
    <row r="43" spans="1:9" ht="12.75">
      <c r="A43" s="257"/>
      <c r="B43" s="337">
        <f>$B$21</f>
        <v>88264</v>
      </c>
      <c r="C43" s="260" t="s">
        <v>250</v>
      </c>
      <c r="D43" s="259" t="s">
        <v>36</v>
      </c>
      <c r="E43" s="280">
        <v>1</v>
      </c>
      <c r="F43" s="258">
        <f>$F$21</f>
        <v>19.52</v>
      </c>
      <c r="G43" s="258">
        <f>TRUNC((E43*F43),2)</f>
        <v>19.52</v>
      </c>
      <c r="H43" s="273"/>
      <c r="I43" s="322"/>
    </row>
    <row r="44" spans="1:9" ht="12.75">
      <c r="A44" s="257"/>
      <c r="B44" s="279">
        <f>$B$22</f>
        <v>88247</v>
      </c>
      <c r="C44" s="260" t="s">
        <v>284</v>
      </c>
      <c r="D44" s="344" t="s">
        <v>60</v>
      </c>
      <c r="E44" s="348">
        <v>1</v>
      </c>
      <c r="F44" s="258">
        <f>$F$22</f>
        <v>14.84</v>
      </c>
      <c r="G44" s="258">
        <f>TRUNC((E44*F44),2)</f>
        <v>14.84</v>
      </c>
      <c r="H44" s="273"/>
      <c r="I44" s="322"/>
    </row>
    <row r="45" spans="1:9" ht="12.75">
      <c r="A45" s="516" t="s">
        <v>437</v>
      </c>
      <c r="B45" s="517"/>
      <c r="C45" s="517"/>
      <c r="D45" s="517"/>
      <c r="E45" s="517"/>
      <c r="F45" s="518"/>
      <c r="G45" s="244">
        <f>SUM(G42:G44)</f>
        <v>336.00999999999993</v>
      </c>
      <c r="H45" s="273"/>
      <c r="I45" s="322"/>
    </row>
    <row r="46" spans="1:9" ht="12.75">
      <c r="A46" s="265"/>
      <c r="B46" s="265"/>
      <c r="C46" s="265"/>
      <c r="D46" s="265"/>
      <c r="E46" s="265"/>
      <c r="F46" s="265"/>
      <c r="G46" s="282"/>
      <c r="H46" s="273"/>
      <c r="I46" s="322"/>
    </row>
    <row r="47" spans="1:9" ht="12.75">
      <c r="A47" s="245" t="s">
        <v>37</v>
      </c>
      <c r="B47" s="257" t="s">
        <v>102</v>
      </c>
      <c r="C47" s="247" t="s">
        <v>55</v>
      </c>
      <c r="D47" s="245" t="s">
        <v>433</v>
      </c>
      <c r="E47" s="248" t="s">
        <v>434</v>
      </c>
      <c r="F47" s="249" t="s">
        <v>435</v>
      </c>
      <c r="G47" s="250" t="s">
        <v>436</v>
      </c>
      <c r="H47" s="273"/>
      <c r="I47" s="323"/>
    </row>
    <row r="48" spans="1:9" ht="12.75">
      <c r="A48" s="251" t="s">
        <v>320</v>
      </c>
      <c r="B48" s="252"/>
      <c r="C48" s="253" t="s">
        <v>240</v>
      </c>
      <c r="D48" s="254" t="s">
        <v>170</v>
      </c>
      <c r="E48" s="255">
        <v>1</v>
      </c>
      <c r="F48" s="256"/>
      <c r="G48" s="250"/>
      <c r="H48" s="273"/>
      <c r="I48" s="327"/>
    </row>
    <row r="49" spans="1:9" ht="12.75">
      <c r="A49" s="257"/>
      <c r="B49" s="279"/>
      <c r="C49" s="281" t="s">
        <v>252</v>
      </c>
      <c r="D49" s="259" t="s">
        <v>57</v>
      </c>
      <c r="E49" s="280">
        <v>1</v>
      </c>
      <c r="F49" s="258">
        <f>0.52*(1+G6)</f>
        <v>0.7410000000000001</v>
      </c>
      <c r="G49" s="258">
        <f>TRUNC((E49*F49),2)</f>
        <v>0.74</v>
      </c>
      <c r="H49" s="273"/>
      <c r="I49" s="326"/>
    </row>
    <row r="50" spans="1:9" ht="12.75">
      <c r="A50" s="257"/>
      <c r="B50" s="337">
        <f>$B$21</f>
        <v>88264</v>
      </c>
      <c r="C50" s="260" t="s">
        <v>250</v>
      </c>
      <c r="D50" s="259" t="s">
        <v>36</v>
      </c>
      <c r="E50" s="280">
        <v>0.05</v>
      </c>
      <c r="F50" s="258">
        <f>$F$21</f>
        <v>19.52</v>
      </c>
      <c r="G50" s="258">
        <f>TRUNC((E50*F50),2)</f>
        <v>0.97</v>
      </c>
      <c r="H50" s="273"/>
      <c r="I50" s="322"/>
    </row>
    <row r="51" spans="1:9" ht="12.75">
      <c r="A51" s="257"/>
      <c r="B51" s="279">
        <f>$B$22</f>
        <v>88247</v>
      </c>
      <c r="C51" s="260" t="s">
        <v>284</v>
      </c>
      <c r="D51" s="344" t="s">
        <v>60</v>
      </c>
      <c r="E51" s="348">
        <v>0.05</v>
      </c>
      <c r="F51" s="258">
        <f>$F$22</f>
        <v>14.84</v>
      </c>
      <c r="G51" s="258">
        <f>TRUNC((E51*F51),2)</f>
        <v>0.74</v>
      </c>
      <c r="H51" s="273"/>
      <c r="I51" s="322"/>
    </row>
    <row r="52" spans="1:9" ht="12.75">
      <c r="A52" s="516" t="s">
        <v>437</v>
      </c>
      <c r="B52" s="517"/>
      <c r="C52" s="517"/>
      <c r="D52" s="517"/>
      <c r="E52" s="517"/>
      <c r="F52" s="518"/>
      <c r="G52" s="244">
        <f>SUM(G49:G51)</f>
        <v>2.45</v>
      </c>
      <c r="H52" s="273"/>
      <c r="I52" s="322"/>
    </row>
    <row r="53" spans="1:9" ht="12.75">
      <c r="A53" s="265"/>
      <c r="B53" s="265"/>
      <c r="C53" s="265"/>
      <c r="D53" s="265"/>
      <c r="E53" s="265"/>
      <c r="F53" s="265"/>
      <c r="G53" s="282"/>
      <c r="H53" s="273"/>
      <c r="I53" s="322"/>
    </row>
    <row r="54" spans="1:9" ht="12.75">
      <c r="A54" s="245" t="s">
        <v>37</v>
      </c>
      <c r="B54" s="257" t="s">
        <v>102</v>
      </c>
      <c r="C54" s="247" t="s">
        <v>55</v>
      </c>
      <c r="D54" s="245" t="s">
        <v>433</v>
      </c>
      <c r="E54" s="248" t="s">
        <v>434</v>
      </c>
      <c r="F54" s="249" t="s">
        <v>435</v>
      </c>
      <c r="G54" s="250" t="s">
        <v>436</v>
      </c>
      <c r="H54" s="273"/>
      <c r="I54" s="323"/>
    </row>
    <row r="55" spans="1:9" ht="12.75">
      <c r="A55" s="251" t="s">
        <v>321</v>
      </c>
      <c r="B55" s="252"/>
      <c r="C55" s="253" t="s">
        <v>241</v>
      </c>
      <c r="D55" s="254" t="s">
        <v>42</v>
      </c>
      <c r="E55" s="255">
        <v>1</v>
      </c>
      <c r="F55" s="256"/>
      <c r="G55" s="250"/>
      <c r="H55" s="273"/>
      <c r="I55" s="327"/>
    </row>
    <row r="56" spans="1:9" ht="12.75">
      <c r="A56" s="257"/>
      <c r="B56" s="279"/>
      <c r="C56" s="281" t="s">
        <v>445</v>
      </c>
      <c r="D56" s="259" t="s">
        <v>57</v>
      </c>
      <c r="E56" s="280">
        <v>1</v>
      </c>
      <c r="F56" s="258">
        <f>5.48*(1+G6)</f>
        <v>7.809000000000001</v>
      </c>
      <c r="G56" s="258">
        <f>TRUNC((E56*F56),2)</f>
        <v>7.8</v>
      </c>
      <c r="H56" s="273"/>
      <c r="I56" s="326"/>
    </row>
    <row r="57" spans="1:9" ht="12.75">
      <c r="A57" s="257"/>
      <c r="B57" s="337">
        <f>$B$21</f>
        <v>88264</v>
      </c>
      <c r="C57" s="260" t="s">
        <v>250</v>
      </c>
      <c r="D57" s="259" t="s">
        <v>36</v>
      </c>
      <c r="E57" s="280">
        <v>0.05</v>
      </c>
      <c r="F57" s="258">
        <f>$F$21</f>
        <v>19.52</v>
      </c>
      <c r="G57" s="258">
        <f>TRUNC((E57*F57),2)</f>
        <v>0.97</v>
      </c>
      <c r="H57" s="273"/>
      <c r="I57" s="322"/>
    </row>
    <row r="58" spans="1:9" ht="12.75">
      <c r="A58" s="257"/>
      <c r="B58" s="279">
        <f>$B$22</f>
        <v>88247</v>
      </c>
      <c r="C58" s="260" t="s">
        <v>284</v>
      </c>
      <c r="D58" s="344" t="s">
        <v>60</v>
      </c>
      <c r="E58" s="348">
        <v>0.05</v>
      </c>
      <c r="F58" s="258">
        <f>$F$22</f>
        <v>14.84</v>
      </c>
      <c r="G58" s="258">
        <f>TRUNC((E58*F58),2)</f>
        <v>0.74</v>
      </c>
      <c r="H58" s="273"/>
      <c r="I58" s="322"/>
    </row>
    <row r="59" spans="1:9" ht="12.75">
      <c r="A59" s="516" t="s">
        <v>437</v>
      </c>
      <c r="B59" s="517"/>
      <c r="C59" s="517"/>
      <c r="D59" s="517"/>
      <c r="E59" s="517"/>
      <c r="F59" s="518"/>
      <c r="G59" s="244">
        <f>SUM(G56:G58)</f>
        <v>9.51</v>
      </c>
      <c r="H59" s="273"/>
      <c r="I59" s="322"/>
    </row>
    <row r="60" spans="1:9" ht="12.75">
      <c r="A60" s="265"/>
      <c r="B60" s="265"/>
      <c r="C60" s="265"/>
      <c r="D60" s="265"/>
      <c r="E60" s="265"/>
      <c r="F60" s="265"/>
      <c r="G60" s="282"/>
      <c r="H60" s="273"/>
      <c r="I60" s="322"/>
    </row>
    <row r="61" spans="1:9" ht="12.75">
      <c r="A61" s="245" t="s">
        <v>37</v>
      </c>
      <c r="B61" s="257" t="s">
        <v>102</v>
      </c>
      <c r="C61" s="247" t="s">
        <v>55</v>
      </c>
      <c r="D61" s="245" t="s">
        <v>433</v>
      </c>
      <c r="E61" s="248" t="s">
        <v>434</v>
      </c>
      <c r="F61" s="249" t="s">
        <v>435</v>
      </c>
      <c r="G61" s="250" t="s">
        <v>436</v>
      </c>
      <c r="H61" s="273"/>
      <c r="I61" s="323"/>
    </row>
    <row r="62" spans="1:9" ht="25.5">
      <c r="A62" s="251" t="s">
        <v>325</v>
      </c>
      <c r="B62" s="252"/>
      <c r="C62" s="253" t="s">
        <v>242</v>
      </c>
      <c r="D62" s="254" t="s">
        <v>42</v>
      </c>
      <c r="E62" s="255">
        <v>1</v>
      </c>
      <c r="F62" s="256"/>
      <c r="G62" s="250"/>
      <c r="H62" s="273"/>
      <c r="I62" s="327"/>
    </row>
    <row r="63" spans="1:9" ht="12.75">
      <c r="A63" s="257"/>
      <c r="B63" s="279"/>
      <c r="C63" s="281" t="s">
        <v>254</v>
      </c>
      <c r="D63" s="259" t="s">
        <v>57</v>
      </c>
      <c r="E63" s="280">
        <v>1</v>
      </c>
      <c r="F63" s="258">
        <f>17.2*(1+G6)</f>
        <v>24.509999999999998</v>
      </c>
      <c r="G63" s="258">
        <f>TRUNC((E63*F63),2)</f>
        <v>24.51</v>
      </c>
      <c r="H63" s="273"/>
      <c r="I63" s="326"/>
    </row>
    <row r="64" spans="1:9" ht="12.75">
      <c r="A64" s="257"/>
      <c r="B64" s="337">
        <f>$B$21</f>
        <v>88264</v>
      </c>
      <c r="C64" s="260" t="s">
        <v>250</v>
      </c>
      <c r="D64" s="259" t="s">
        <v>36</v>
      </c>
      <c r="E64" s="280">
        <v>0.15</v>
      </c>
      <c r="F64" s="258">
        <f>$F$21</f>
        <v>19.52</v>
      </c>
      <c r="G64" s="258">
        <f>TRUNC((E64*F64),2)</f>
        <v>2.92</v>
      </c>
      <c r="H64" s="273"/>
      <c r="I64" s="322"/>
    </row>
    <row r="65" spans="1:9" ht="12.75">
      <c r="A65" s="257"/>
      <c r="B65" s="279">
        <f>$B$22</f>
        <v>88247</v>
      </c>
      <c r="C65" s="260" t="s">
        <v>284</v>
      </c>
      <c r="D65" s="344" t="s">
        <v>60</v>
      </c>
      <c r="E65" s="348">
        <v>0.15</v>
      </c>
      <c r="F65" s="258">
        <f>$F$22</f>
        <v>14.84</v>
      </c>
      <c r="G65" s="258">
        <f>TRUNC((E65*F65),2)</f>
        <v>2.22</v>
      </c>
      <c r="H65" s="273"/>
      <c r="I65" s="322"/>
    </row>
    <row r="66" spans="1:9" ht="12.75">
      <c r="A66" s="516" t="s">
        <v>437</v>
      </c>
      <c r="B66" s="517"/>
      <c r="C66" s="517"/>
      <c r="D66" s="517"/>
      <c r="E66" s="517"/>
      <c r="F66" s="518"/>
      <c r="G66" s="244">
        <f>SUM(G63:G65)</f>
        <v>29.65</v>
      </c>
      <c r="H66" s="273"/>
      <c r="I66" s="322"/>
    </row>
    <row r="67" spans="1:9" ht="12.75">
      <c r="A67" s="265"/>
      <c r="B67" s="265"/>
      <c r="C67" s="265"/>
      <c r="D67" s="265"/>
      <c r="E67" s="265"/>
      <c r="F67" s="265"/>
      <c r="G67" s="282"/>
      <c r="H67" s="273"/>
      <c r="I67" s="322"/>
    </row>
    <row r="68" spans="1:9" ht="12.75">
      <c r="A68" s="245" t="s">
        <v>37</v>
      </c>
      <c r="B68" s="257" t="s">
        <v>102</v>
      </c>
      <c r="C68" s="247" t="s">
        <v>55</v>
      </c>
      <c r="D68" s="245" t="s">
        <v>433</v>
      </c>
      <c r="E68" s="248" t="s">
        <v>434</v>
      </c>
      <c r="F68" s="249" t="s">
        <v>435</v>
      </c>
      <c r="G68" s="250" t="s">
        <v>436</v>
      </c>
      <c r="H68" s="273"/>
      <c r="I68" s="323"/>
    </row>
    <row r="69" spans="1:9" ht="25.5">
      <c r="A69" s="251" t="s">
        <v>423</v>
      </c>
      <c r="B69" s="252"/>
      <c r="C69" s="253" t="s">
        <v>243</v>
      </c>
      <c r="D69" s="254" t="s">
        <v>42</v>
      </c>
      <c r="E69" s="255">
        <v>1</v>
      </c>
      <c r="F69" s="256"/>
      <c r="G69" s="250"/>
      <c r="H69" s="273"/>
      <c r="I69" s="327"/>
    </row>
    <row r="70" spans="1:9" ht="12.75">
      <c r="A70" s="257"/>
      <c r="B70" s="279"/>
      <c r="C70" s="281" t="s">
        <v>255</v>
      </c>
      <c r="D70" s="259" t="s">
        <v>57</v>
      </c>
      <c r="E70" s="280">
        <v>1</v>
      </c>
      <c r="F70" s="258">
        <f>49.52*(1+G6)</f>
        <v>70.566</v>
      </c>
      <c r="G70" s="258">
        <f>TRUNC((E70*F70),2)</f>
        <v>70.56</v>
      </c>
      <c r="H70" s="273"/>
      <c r="I70" s="326"/>
    </row>
    <row r="71" spans="1:9" ht="12.75">
      <c r="A71" s="257"/>
      <c r="B71" s="337">
        <f>$B$21</f>
        <v>88264</v>
      </c>
      <c r="C71" s="260" t="s">
        <v>250</v>
      </c>
      <c r="D71" s="259" t="s">
        <v>36</v>
      </c>
      <c r="E71" s="280">
        <v>0.3</v>
      </c>
      <c r="F71" s="258">
        <f>$F$21</f>
        <v>19.52</v>
      </c>
      <c r="G71" s="258">
        <f>TRUNC((E71*F71),2)</f>
        <v>5.85</v>
      </c>
      <c r="H71" s="273"/>
      <c r="I71" s="322"/>
    </row>
    <row r="72" spans="1:9" ht="12.75">
      <c r="A72" s="257"/>
      <c r="B72" s="279">
        <f>$B$22</f>
        <v>88247</v>
      </c>
      <c r="C72" s="260" t="s">
        <v>284</v>
      </c>
      <c r="D72" s="344" t="s">
        <v>60</v>
      </c>
      <c r="E72" s="348">
        <v>0.3</v>
      </c>
      <c r="F72" s="258">
        <f>$F$22</f>
        <v>14.84</v>
      </c>
      <c r="G72" s="258">
        <f>TRUNC((E72*F72),2)</f>
        <v>4.45</v>
      </c>
      <c r="H72" s="273"/>
      <c r="I72" s="322"/>
    </row>
    <row r="73" spans="1:9" ht="12.75">
      <c r="A73" s="516" t="s">
        <v>437</v>
      </c>
      <c r="B73" s="517"/>
      <c r="C73" s="517"/>
      <c r="D73" s="517"/>
      <c r="E73" s="517"/>
      <c r="F73" s="518"/>
      <c r="G73" s="244">
        <f>SUM(G70:G72)</f>
        <v>80.86</v>
      </c>
      <c r="H73" s="273"/>
      <c r="I73" s="322"/>
    </row>
    <row r="74" spans="1:9" ht="12.75">
      <c r="A74" s="265"/>
      <c r="B74" s="265"/>
      <c r="C74" s="265"/>
      <c r="D74" s="265"/>
      <c r="E74" s="265"/>
      <c r="F74" s="265"/>
      <c r="G74" s="282"/>
      <c r="H74" s="273"/>
      <c r="I74" s="322"/>
    </row>
    <row r="75" spans="1:9" ht="12.75">
      <c r="A75" s="245" t="s">
        <v>37</v>
      </c>
      <c r="B75" s="257" t="s">
        <v>102</v>
      </c>
      <c r="C75" s="247" t="s">
        <v>55</v>
      </c>
      <c r="D75" s="245" t="s">
        <v>433</v>
      </c>
      <c r="E75" s="248" t="s">
        <v>434</v>
      </c>
      <c r="F75" s="249" t="s">
        <v>435</v>
      </c>
      <c r="G75" s="250" t="s">
        <v>436</v>
      </c>
      <c r="H75" s="273"/>
      <c r="I75" s="323"/>
    </row>
    <row r="76" spans="1:9" ht="25.5">
      <c r="A76" s="251" t="s">
        <v>470</v>
      </c>
      <c r="B76" s="252"/>
      <c r="C76" s="253" t="s">
        <v>244</v>
      </c>
      <c r="D76" s="254" t="s">
        <v>170</v>
      </c>
      <c r="E76" s="255">
        <v>1</v>
      </c>
      <c r="F76" s="256"/>
      <c r="G76" s="250"/>
      <c r="H76" s="273"/>
      <c r="I76" s="327"/>
    </row>
    <row r="77" spans="1:9" ht="12.75">
      <c r="A77" s="257"/>
      <c r="B77" s="279"/>
      <c r="C77" s="260" t="s">
        <v>256</v>
      </c>
      <c r="D77" s="259" t="s">
        <v>57</v>
      </c>
      <c r="E77" s="280">
        <v>1</v>
      </c>
      <c r="F77" s="258">
        <f>82.8*(1+G6)</f>
        <v>117.99</v>
      </c>
      <c r="G77" s="258">
        <f>TRUNC((E77*F77),2)</f>
        <v>117.99</v>
      </c>
      <c r="H77" s="273"/>
      <c r="I77" s="326"/>
    </row>
    <row r="78" spans="1:9" ht="12.75">
      <c r="A78" s="257"/>
      <c r="B78" s="337">
        <f>$B$21</f>
        <v>88264</v>
      </c>
      <c r="C78" s="260" t="s">
        <v>250</v>
      </c>
      <c r="D78" s="259" t="s">
        <v>36</v>
      </c>
      <c r="E78" s="280">
        <v>0.3</v>
      </c>
      <c r="F78" s="258">
        <f>$F$21</f>
        <v>19.52</v>
      </c>
      <c r="G78" s="258">
        <f>TRUNC((E78*F78),2)</f>
        <v>5.85</v>
      </c>
      <c r="H78" s="273"/>
      <c r="I78" s="322"/>
    </row>
    <row r="79" spans="1:9" ht="12.75">
      <c r="A79" s="257"/>
      <c r="B79" s="279">
        <f>$B$22</f>
        <v>88247</v>
      </c>
      <c r="C79" s="260" t="s">
        <v>284</v>
      </c>
      <c r="D79" s="344" t="s">
        <v>60</v>
      </c>
      <c r="E79" s="348">
        <v>0.3</v>
      </c>
      <c r="F79" s="258">
        <f>$F$22</f>
        <v>14.84</v>
      </c>
      <c r="G79" s="258">
        <f>TRUNC((E79*F79),2)</f>
        <v>4.45</v>
      </c>
      <c r="H79" s="273"/>
      <c r="I79" s="322"/>
    </row>
    <row r="80" spans="1:9" ht="12.75">
      <c r="A80" s="516" t="s">
        <v>437</v>
      </c>
      <c r="B80" s="517"/>
      <c r="C80" s="517"/>
      <c r="D80" s="517"/>
      <c r="E80" s="517"/>
      <c r="F80" s="518"/>
      <c r="G80" s="244">
        <f>SUM(G77:G79)</f>
        <v>128.29</v>
      </c>
      <c r="H80" s="273"/>
      <c r="I80" s="322"/>
    </row>
    <row r="81" spans="1:9" ht="12.75">
      <c r="A81" s="265"/>
      <c r="B81" s="265"/>
      <c r="C81" s="265"/>
      <c r="D81" s="265"/>
      <c r="E81" s="265"/>
      <c r="F81" s="265"/>
      <c r="G81" s="282"/>
      <c r="H81" s="273"/>
      <c r="I81" s="322"/>
    </row>
    <row r="82" spans="1:9" ht="12.75">
      <c r="A82" s="245" t="s">
        <v>37</v>
      </c>
      <c r="B82" s="257" t="s">
        <v>102</v>
      </c>
      <c r="C82" s="247" t="s">
        <v>55</v>
      </c>
      <c r="D82" s="245" t="s">
        <v>433</v>
      </c>
      <c r="E82" s="248" t="s">
        <v>434</v>
      </c>
      <c r="F82" s="249" t="s">
        <v>435</v>
      </c>
      <c r="G82" s="250" t="s">
        <v>436</v>
      </c>
      <c r="H82" s="273"/>
      <c r="I82" s="323"/>
    </row>
    <row r="83" spans="1:9" ht="12.75">
      <c r="A83" s="251" t="s">
        <v>471</v>
      </c>
      <c r="B83" s="252"/>
      <c r="C83" s="253" t="s">
        <v>245</v>
      </c>
      <c r="D83" s="254" t="s">
        <v>170</v>
      </c>
      <c r="E83" s="255">
        <v>1</v>
      </c>
      <c r="F83" s="256"/>
      <c r="G83" s="250"/>
      <c r="H83" s="273"/>
      <c r="I83" s="327"/>
    </row>
    <row r="84" spans="1:9" ht="12.75">
      <c r="A84" s="257"/>
      <c r="B84" s="279"/>
      <c r="C84" s="260" t="s">
        <v>257</v>
      </c>
      <c r="D84" s="259" t="s">
        <v>57</v>
      </c>
      <c r="E84" s="280">
        <v>1</v>
      </c>
      <c r="F84" s="258">
        <f>62.73*(1+G6)</f>
        <v>89.39025</v>
      </c>
      <c r="G84" s="258">
        <f>TRUNC((E84*F84),2)</f>
        <v>89.39</v>
      </c>
      <c r="H84" s="273"/>
      <c r="I84" s="326"/>
    </row>
    <row r="85" spans="1:9" ht="12.75">
      <c r="A85" s="257"/>
      <c r="B85" s="337">
        <f>$B$21</f>
        <v>88264</v>
      </c>
      <c r="C85" s="260" t="s">
        <v>250</v>
      </c>
      <c r="D85" s="259" t="s">
        <v>36</v>
      </c>
      <c r="E85" s="280">
        <v>0.5</v>
      </c>
      <c r="F85" s="258">
        <f>$F$21</f>
        <v>19.52</v>
      </c>
      <c r="G85" s="258">
        <f>TRUNC((E85*F85),2)</f>
        <v>9.76</v>
      </c>
      <c r="H85" s="273"/>
      <c r="I85" s="322"/>
    </row>
    <row r="86" spans="1:9" ht="12.75">
      <c r="A86" s="257"/>
      <c r="B86" s="279">
        <f>$B$22</f>
        <v>88247</v>
      </c>
      <c r="C86" s="260" t="s">
        <v>284</v>
      </c>
      <c r="D86" s="344" t="s">
        <v>60</v>
      </c>
      <c r="E86" s="348">
        <v>0.5</v>
      </c>
      <c r="F86" s="258">
        <f>$F$22</f>
        <v>14.84</v>
      </c>
      <c r="G86" s="258">
        <f>TRUNC((E86*F86),2)</f>
        <v>7.42</v>
      </c>
      <c r="H86" s="273"/>
      <c r="I86" s="322"/>
    </row>
    <row r="87" spans="1:9" ht="12.75">
      <c r="A87" s="516" t="s">
        <v>437</v>
      </c>
      <c r="B87" s="517"/>
      <c r="C87" s="517"/>
      <c r="D87" s="517"/>
      <c r="E87" s="517"/>
      <c r="F87" s="518"/>
      <c r="G87" s="244">
        <f>SUM(G84:G86)</f>
        <v>106.57000000000001</v>
      </c>
      <c r="H87" s="273"/>
      <c r="I87" s="322"/>
    </row>
    <row r="88" spans="1:9" ht="12.75">
      <c r="A88" s="265"/>
      <c r="B88" s="265"/>
      <c r="C88" s="265"/>
      <c r="D88" s="265"/>
      <c r="E88" s="265"/>
      <c r="F88" s="265"/>
      <c r="G88" s="282"/>
      <c r="H88" s="273"/>
      <c r="I88" s="322"/>
    </row>
    <row r="89" spans="1:9" ht="12.75">
      <c r="A89" s="245" t="s">
        <v>37</v>
      </c>
      <c r="B89" s="257" t="s">
        <v>102</v>
      </c>
      <c r="C89" s="247" t="s">
        <v>55</v>
      </c>
      <c r="D89" s="245" t="s">
        <v>433</v>
      </c>
      <c r="E89" s="248" t="s">
        <v>434</v>
      </c>
      <c r="F89" s="249" t="s">
        <v>435</v>
      </c>
      <c r="G89" s="250" t="s">
        <v>436</v>
      </c>
      <c r="H89" s="273"/>
      <c r="I89" s="323"/>
    </row>
    <row r="90" spans="1:9" ht="12.75">
      <c r="A90" s="251" t="s">
        <v>472</v>
      </c>
      <c r="B90" s="252"/>
      <c r="C90" s="253" t="s">
        <v>246</v>
      </c>
      <c r="D90" s="254" t="s">
        <v>170</v>
      </c>
      <c r="E90" s="255">
        <v>1</v>
      </c>
      <c r="F90" s="256"/>
      <c r="G90" s="250"/>
      <c r="H90" s="273"/>
      <c r="I90" s="327"/>
    </row>
    <row r="91" spans="1:9" ht="12.75">
      <c r="A91" s="257"/>
      <c r="B91" s="279">
        <v>39601</v>
      </c>
      <c r="C91" s="281" t="s">
        <v>258</v>
      </c>
      <c r="D91" s="259" t="s">
        <v>57</v>
      </c>
      <c r="E91" s="280">
        <v>1</v>
      </c>
      <c r="F91" s="258">
        <f>15.54*(1+G6)</f>
        <v>22.1445</v>
      </c>
      <c r="G91" s="258">
        <f>TRUNC((E91*F91),2)</f>
        <v>22.14</v>
      </c>
      <c r="H91" s="273"/>
      <c r="I91" s="326"/>
    </row>
    <row r="92" spans="1:9" ht="12.75">
      <c r="A92" s="257"/>
      <c r="B92" s="337">
        <f>$B$21</f>
        <v>88264</v>
      </c>
      <c r="C92" s="260" t="s">
        <v>250</v>
      </c>
      <c r="D92" s="259" t="s">
        <v>36</v>
      </c>
      <c r="E92" s="280">
        <v>0.3</v>
      </c>
      <c r="F92" s="258">
        <f>$F$21</f>
        <v>19.52</v>
      </c>
      <c r="G92" s="258">
        <f>TRUNC((E92*F92),2)</f>
        <v>5.85</v>
      </c>
      <c r="H92" s="273"/>
      <c r="I92" s="322"/>
    </row>
    <row r="93" spans="1:9" ht="12.75">
      <c r="A93" s="257"/>
      <c r="B93" s="279">
        <f>$B$22</f>
        <v>88247</v>
      </c>
      <c r="C93" s="260" t="s">
        <v>284</v>
      </c>
      <c r="D93" s="344" t="s">
        <v>60</v>
      </c>
      <c r="E93" s="348">
        <v>0.3</v>
      </c>
      <c r="F93" s="258">
        <f>$F$22</f>
        <v>14.84</v>
      </c>
      <c r="G93" s="258">
        <f>TRUNC((E93*F93),2)</f>
        <v>4.45</v>
      </c>
      <c r="H93" s="273"/>
      <c r="I93" s="322"/>
    </row>
    <row r="94" spans="1:9" ht="12.75">
      <c r="A94" s="516" t="s">
        <v>437</v>
      </c>
      <c r="B94" s="517"/>
      <c r="C94" s="517"/>
      <c r="D94" s="517"/>
      <c r="E94" s="517"/>
      <c r="F94" s="518"/>
      <c r="G94" s="244">
        <f>SUM(G91:G93)</f>
        <v>32.440000000000005</v>
      </c>
      <c r="H94" s="273"/>
      <c r="I94" s="322"/>
    </row>
    <row r="95" spans="1:9" ht="12.75">
      <c r="A95" s="265"/>
      <c r="B95" s="265"/>
      <c r="C95" s="265"/>
      <c r="D95" s="265"/>
      <c r="E95" s="265"/>
      <c r="F95" s="265"/>
      <c r="G95" s="282"/>
      <c r="H95" s="273"/>
      <c r="I95" s="322"/>
    </row>
    <row r="96" spans="1:9" ht="12.75">
      <c r="A96" s="245" t="s">
        <v>37</v>
      </c>
      <c r="B96" s="257" t="s">
        <v>102</v>
      </c>
      <c r="C96" s="247" t="s">
        <v>55</v>
      </c>
      <c r="D96" s="245" t="s">
        <v>433</v>
      </c>
      <c r="E96" s="248" t="s">
        <v>434</v>
      </c>
      <c r="F96" s="249" t="s">
        <v>435</v>
      </c>
      <c r="G96" s="250" t="s">
        <v>436</v>
      </c>
      <c r="H96" s="273"/>
      <c r="I96" s="323"/>
    </row>
    <row r="97" spans="1:9" ht="12.75">
      <c r="A97" s="251" t="s">
        <v>473</v>
      </c>
      <c r="B97" s="252"/>
      <c r="C97" s="253" t="s">
        <v>330</v>
      </c>
      <c r="D97" s="254" t="s">
        <v>170</v>
      </c>
      <c r="E97" s="255">
        <v>1</v>
      </c>
      <c r="F97" s="256"/>
      <c r="G97" s="250"/>
      <c r="H97" s="273"/>
      <c r="I97" s="327"/>
    </row>
    <row r="98" spans="1:9" ht="12.75">
      <c r="A98" s="257"/>
      <c r="B98" s="279"/>
      <c r="C98" s="281" t="s">
        <v>446</v>
      </c>
      <c r="D98" s="259" t="s">
        <v>57</v>
      </c>
      <c r="E98" s="280">
        <v>1</v>
      </c>
      <c r="F98" s="258">
        <f>1440.83*(1+G6)</f>
        <v>2053.18275</v>
      </c>
      <c r="G98" s="258">
        <f>TRUNC((E98*F98),2)</f>
        <v>2053.18</v>
      </c>
      <c r="H98" s="273"/>
      <c r="I98" s="326"/>
    </row>
    <row r="99" spans="1:9" ht="12.75">
      <c r="A99" s="257"/>
      <c r="B99" s="337">
        <f>$B$21</f>
        <v>88264</v>
      </c>
      <c r="C99" s="260" t="s">
        <v>250</v>
      </c>
      <c r="D99" s="259" t="s">
        <v>36</v>
      </c>
      <c r="E99" s="280">
        <v>3</v>
      </c>
      <c r="F99" s="258">
        <f>$F$21</f>
        <v>19.52</v>
      </c>
      <c r="G99" s="258">
        <f>TRUNC((E99*F99),2)</f>
        <v>58.56</v>
      </c>
      <c r="H99" s="273"/>
      <c r="I99" s="322"/>
    </row>
    <row r="100" spans="1:9" ht="12.75">
      <c r="A100" s="257"/>
      <c r="B100" s="279">
        <f>$B$22</f>
        <v>88247</v>
      </c>
      <c r="C100" s="260" t="s">
        <v>284</v>
      </c>
      <c r="D100" s="344" t="s">
        <v>60</v>
      </c>
      <c r="E100" s="348">
        <v>3</v>
      </c>
      <c r="F100" s="258">
        <f>$F$22</f>
        <v>14.84</v>
      </c>
      <c r="G100" s="258">
        <f>TRUNC((E100*F100),2)</f>
        <v>44.52</v>
      </c>
      <c r="H100" s="273"/>
      <c r="I100" s="322"/>
    </row>
    <row r="101" spans="1:9" ht="12.75">
      <c r="A101" s="516" t="s">
        <v>437</v>
      </c>
      <c r="B101" s="517"/>
      <c r="C101" s="517"/>
      <c r="D101" s="517"/>
      <c r="E101" s="517"/>
      <c r="F101" s="518"/>
      <c r="G101" s="244">
        <f>SUM(G98:G100)</f>
        <v>2156.2599999999998</v>
      </c>
      <c r="H101" s="273"/>
      <c r="I101" s="322"/>
    </row>
    <row r="102" spans="1:9" ht="12.75">
      <c r="A102" s="265"/>
      <c r="B102" s="265"/>
      <c r="C102" s="265"/>
      <c r="D102" s="265"/>
      <c r="E102" s="265"/>
      <c r="F102" s="265"/>
      <c r="G102" s="282"/>
      <c r="H102" s="273"/>
      <c r="I102" s="322"/>
    </row>
    <row r="103" spans="1:9" ht="12.75">
      <c r="A103" s="245" t="s">
        <v>37</v>
      </c>
      <c r="B103" s="257" t="s">
        <v>102</v>
      </c>
      <c r="C103" s="247" t="s">
        <v>55</v>
      </c>
      <c r="D103" s="245" t="s">
        <v>433</v>
      </c>
      <c r="E103" s="248" t="s">
        <v>434</v>
      </c>
      <c r="F103" s="249" t="s">
        <v>435</v>
      </c>
      <c r="G103" s="250" t="s">
        <v>436</v>
      </c>
      <c r="H103" s="273"/>
      <c r="I103" s="323"/>
    </row>
    <row r="104" spans="1:9" ht="12.75">
      <c r="A104" s="251" t="s">
        <v>474</v>
      </c>
      <c r="B104" s="252"/>
      <c r="C104" s="253" t="s">
        <v>247</v>
      </c>
      <c r="D104" s="254" t="s">
        <v>170</v>
      </c>
      <c r="E104" s="255">
        <v>1</v>
      </c>
      <c r="F104" s="256"/>
      <c r="G104" s="250"/>
      <c r="H104" s="273"/>
      <c r="I104" s="327"/>
    </row>
    <row r="105" spans="1:9" ht="12.75">
      <c r="A105" s="257"/>
      <c r="B105" s="279">
        <v>39599</v>
      </c>
      <c r="C105" s="281" t="s">
        <v>259</v>
      </c>
      <c r="D105" s="259" t="s">
        <v>57</v>
      </c>
      <c r="E105" s="280">
        <v>1</v>
      </c>
      <c r="F105" s="258">
        <f>1.58*(1+G6)</f>
        <v>2.2515</v>
      </c>
      <c r="G105" s="258">
        <f>TRUNC((E105*F105),2)</f>
        <v>2.25</v>
      </c>
      <c r="H105" s="273"/>
      <c r="I105" s="326"/>
    </row>
    <row r="106" spans="1:9" ht="12.75">
      <c r="A106" s="257"/>
      <c r="B106" s="337">
        <f>$B$21</f>
        <v>88264</v>
      </c>
      <c r="C106" s="260" t="s">
        <v>250</v>
      </c>
      <c r="D106" s="259" t="s">
        <v>36</v>
      </c>
      <c r="E106" s="280">
        <v>0.05</v>
      </c>
      <c r="F106" s="258">
        <f>$F$21</f>
        <v>19.52</v>
      </c>
      <c r="G106" s="258">
        <f>TRUNC((E106*F106),2)</f>
        <v>0.97</v>
      </c>
      <c r="H106" s="273"/>
      <c r="I106" s="322"/>
    </row>
    <row r="107" spans="1:9" ht="12.75">
      <c r="A107" s="257"/>
      <c r="B107" s="279">
        <f>$B$22</f>
        <v>88247</v>
      </c>
      <c r="C107" s="260" t="s">
        <v>284</v>
      </c>
      <c r="D107" s="344" t="s">
        <v>60</v>
      </c>
      <c r="E107" s="348">
        <v>0.05</v>
      </c>
      <c r="F107" s="258">
        <f>$F$22</f>
        <v>14.84</v>
      </c>
      <c r="G107" s="258">
        <f>TRUNC((E107*F107),2)</f>
        <v>0.74</v>
      </c>
      <c r="H107" s="273"/>
      <c r="I107" s="322"/>
    </row>
    <row r="108" spans="1:9" ht="12.75">
      <c r="A108" s="516" t="s">
        <v>437</v>
      </c>
      <c r="B108" s="517"/>
      <c r="C108" s="517"/>
      <c r="D108" s="517"/>
      <c r="E108" s="517"/>
      <c r="F108" s="518"/>
      <c r="G108" s="244">
        <f>SUM(G105:G107)</f>
        <v>3.96</v>
      </c>
      <c r="H108" s="273"/>
      <c r="I108" s="322"/>
    </row>
    <row r="109" spans="1:9" ht="12.75">
      <c r="A109" s="265"/>
      <c r="B109" s="265"/>
      <c r="C109" s="265"/>
      <c r="D109" s="265"/>
      <c r="E109" s="265"/>
      <c r="F109" s="265"/>
      <c r="G109" s="282"/>
      <c r="H109" s="273"/>
      <c r="I109" s="322"/>
    </row>
    <row r="110" spans="1:9" ht="12.75">
      <c r="A110" s="245" t="s">
        <v>37</v>
      </c>
      <c r="B110" s="257" t="s">
        <v>102</v>
      </c>
      <c r="C110" s="247" t="s">
        <v>55</v>
      </c>
      <c r="D110" s="245" t="s">
        <v>433</v>
      </c>
      <c r="E110" s="248" t="s">
        <v>434</v>
      </c>
      <c r="F110" s="249" t="s">
        <v>435</v>
      </c>
      <c r="G110" s="250" t="s">
        <v>436</v>
      </c>
      <c r="H110" s="273"/>
      <c r="I110" s="323"/>
    </row>
    <row r="111" spans="1:9" ht="12.75">
      <c r="A111" s="251" t="s">
        <v>475</v>
      </c>
      <c r="B111" s="252"/>
      <c r="C111" s="253" t="s">
        <v>329</v>
      </c>
      <c r="D111" s="254" t="s">
        <v>170</v>
      </c>
      <c r="E111" s="255">
        <v>1</v>
      </c>
      <c r="F111" s="256"/>
      <c r="G111" s="250"/>
      <c r="H111" s="273"/>
      <c r="I111" s="327"/>
    </row>
    <row r="112" spans="1:9" ht="12.75">
      <c r="A112" s="257"/>
      <c r="B112" s="279">
        <v>39596</v>
      </c>
      <c r="C112" s="281" t="s">
        <v>260</v>
      </c>
      <c r="D112" s="259" t="s">
        <v>57</v>
      </c>
      <c r="E112" s="280">
        <v>1</v>
      </c>
      <c r="F112" s="258">
        <f>294.56*(1+G6)</f>
        <v>419.748</v>
      </c>
      <c r="G112" s="258">
        <f>TRUNC((E112*F112),2)</f>
        <v>419.74</v>
      </c>
      <c r="H112" s="273"/>
      <c r="I112" s="326"/>
    </row>
    <row r="113" spans="1:9" ht="12.75">
      <c r="A113" s="257"/>
      <c r="B113" s="337">
        <f>$B$21</f>
        <v>88264</v>
      </c>
      <c r="C113" s="260" t="s">
        <v>250</v>
      </c>
      <c r="D113" s="259" t="s">
        <v>36</v>
      </c>
      <c r="E113" s="280">
        <v>3</v>
      </c>
      <c r="F113" s="258">
        <f>$F$21</f>
        <v>19.52</v>
      </c>
      <c r="G113" s="258">
        <f>TRUNC((E113*F113),2)</f>
        <v>58.56</v>
      </c>
      <c r="H113" s="273"/>
      <c r="I113" s="322"/>
    </row>
    <row r="114" spans="1:9" ht="12.75">
      <c r="A114" s="257"/>
      <c r="B114" s="279">
        <f>$B$22</f>
        <v>88247</v>
      </c>
      <c r="C114" s="260" t="s">
        <v>284</v>
      </c>
      <c r="D114" s="344" t="s">
        <v>60</v>
      </c>
      <c r="E114" s="348">
        <v>3</v>
      </c>
      <c r="F114" s="258">
        <f>$F$22</f>
        <v>14.84</v>
      </c>
      <c r="G114" s="258">
        <f>TRUNC((E114*F114),2)</f>
        <v>44.52</v>
      </c>
      <c r="H114" s="273"/>
      <c r="I114" s="322"/>
    </row>
    <row r="115" spans="1:9" ht="12.75">
      <c r="A115" s="516" t="s">
        <v>437</v>
      </c>
      <c r="B115" s="517"/>
      <c r="C115" s="517"/>
      <c r="D115" s="517"/>
      <c r="E115" s="517"/>
      <c r="F115" s="518"/>
      <c r="G115" s="244">
        <f>SUM(G112:G114)</f>
        <v>522.82</v>
      </c>
      <c r="H115" s="273"/>
      <c r="I115" s="322"/>
    </row>
    <row r="116" spans="1:9" ht="12.75">
      <c r="A116" s="265"/>
      <c r="B116" s="265"/>
      <c r="C116" s="265"/>
      <c r="D116" s="265"/>
      <c r="E116" s="265"/>
      <c r="F116" s="265"/>
      <c r="G116" s="282"/>
      <c r="H116" s="273"/>
      <c r="I116" s="322"/>
    </row>
    <row r="117" spans="1:9" ht="12.75">
      <c r="A117" s="245" t="s">
        <v>37</v>
      </c>
      <c r="B117" s="257" t="s">
        <v>102</v>
      </c>
      <c r="C117" s="247" t="s">
        <v>55</v>
      </c>
      <c r="D117" s="245" t="s">
        <v>433</v>
      </c>
      <c r="E117" s="248" t="s">
        <v>434</v>
      </c>
      <c r="F117" s="249" t="s">
        <v>435</v>
      </c>
      <c r="G117" s="250" t="s">
        <v>436</v>
      </c>
      <c r="H117" s="273"/>
      <c r="I117" s="323"/>
    </row>
    <row r="118" spans="1:9" ht="12.75">
      <c r="A118" s="251" t="s">
        <v>476</v>
      </c>
      <c r="B118" s="252"/>
      <c r="C118" s="253" t="s">
        <v>248</v>
      </c>
      <c r="D118" s="254" t="s">
        <v>170</v>
      </c>
      <c r="E118" s="255">
        <v>1</v>
      </c>
      <c r="F118" s="256"/>
      <c r="G118" s="250"/>
      <c r="H118" s="273"/>
      <c r="I118" s="327"/>
    </row>
    <row r="119" spans="1:9" ht="12.75">
      <c r="A119" s="257"/>
      <c r="B119" s="279">
        <v>39603</v>
      </c>
      <c r="C119" s="281" t="s">
        <v>447</v>
      </c>
      <c r="D119" s="259" t="s">
        <v>57</v>
      </c>
      <c r="E119" s="280">
        <v>1</v>
      </c>
      <c r="F119" s="258">
        <f>1.75*(1+G6)</f>
        <v>2.49375</v>
      </c>
      <c r="G119" s="258">
        <f>TRUNC((E119*F119),2)</f>
        <v>2.49</v>
      </c>
      <c r="H119" s="273"/>
      <c r="I119" s="326"/>
    </row>
    <row r="120" spans="1:9" ht="12.75">
      <c r="A120" s="257"/>
      <c r="B120" s="337">
        <f>$B$21</f>
        <v>88264</v>
      </c>
      <c r="C120" s="260" t="s">
        <v>250</v>
      </c>
      <c r="D120" s="259" t="s">
        <v>36</v>
      </c>
      <c r="E120" s="280">
        <v>0.3</v>
      </c>
      <c r="F120" s="258">
        <f>$F$21</f>
        <v>19.52</v>
      </c>
      <c r="G120" s="258">
        <f>TRUNC((E120*F120),2)</f>
        <v>5.85</v>
      </c>
      <c r="H120" s="273"/>
      <c r="I120" s="322"/>
    </row>
    <row r="121" spans="1:9" ht="12.75">
      <c r="A121" s="257"/>
      <c r="B121" s="279">
        <f>$B$22</f>
        <v>88247</v>
      </c>
      <c r="C121" s="260" t="s">
        <v>284</v>
      </c>
      <c r="D121" s="344" t="s">
        <v>60</v>
      </c>
      <c r="E121" s="348">
        <v>0.3</v>
      </c>
      <c r="F121" s="258">
        <f>$F$22</f>
        <v>14.84</v>
      </c>
      <c r="G121" s="258">
        <f>TRUNC((E121*F121),2)</f>
        <v>4.45</v>
      </c>
      <c r="H121" s="273"/>
      <c r="I121" s="322"/>
    </row>
    <row r="122" spans="1:9" ht="12.75">
      <c r="A122" s="516" t="s">
        <v>437</v>
      </c>
      <c r="B122" s="517"/>
      <c r="C122" s="517"/>
      <c r="D122" s="517"/>
      <c r="E122" s="517"/>
      <c r="F122" s="518"/>
      <c r="G122" s="244">
        <f>SUM(G119:G121)</f>
        <v>12.79</v>
      </c>
      <c r="H122" s="273"/>
      <c r="I122" s="322"/>
    </row>
    <row r="123" spans="1:9" ht="12.75">
      <c r="A123" s="265"/>
      <c r="B123" s="265"/>
      <c r="C123" s="265"/>
      <c r="D123" s="265"/>
      <c r="E123" s="265"/>
      <c r="F123" s="265"/>
      <c r="G123" s="282"/>
      <c r="H123" s="273"/>
      <c r="I123" s="322"/>
    </row>
    <row r="124" spans="1:9" ht="12.75">
      <c r="A124" s="245" t="s">
        <v>37</v>
      </c>
      <c r="B124" s="257" t="s">
        <v>102</v>
      </c>
      <c r="C124" s="247" t="s">
        <v>55</v>
      </c>
      <c r="D124" s="245" t="s">
        <v>433</v>
      </c>
      <c r="E124" s="248" t="s">
        <v>434</v>
      </c>
      <c r="F124" s="249" t="s">
        <v>435</v>
      </c>
      <c r="G124" s="250" t="s">
        <v>436</v>
      </c>
      <c r="H124" s="273"/>
      <c r="I124" s="323"/>
    </row>
    <row r="125" spans="1:9" ht="12.75">
      <c r="A125" s="251" t="s">
        <v>477</v>
      </c>
      <c r="B125" s="252"/>
      <c r="C125" s="253" t="s">
        <v>249</v>
      </c>
      <c r="D125" s="254" t="s">
        <v>237</v>
      </c>
      <c r="E125" s="255">
        <v>1</v>
      </c>
      <c r="F125" s="256"/>
      <c r="G125" s="250"/>
      <c r="H125" s="273"/>
      <c r="I125" s="327"/>
    </row>
    <row r="126" spans="1:9" ht="12.75">
      <c r="A126" s="257"/>
      <c r="B126" s="279"/>
      <c r="C126" s="281" t="s">
        <v>249</v>
      </c>
      <c r="D126" s="259" t="s">
        <v>57</v>
      </c>
      <c r="E126" s="280">
        <v>1</v>
      </c>
      <c r="F126" s="258">
        <f>40.27*(1+G6)</f>
        <v>57.384750000000004</v>
      </c>
      <c r="G126" s="258">
        <f>TRUNC((E126*F126),2)</f>
        <v>57.38</v>
      </c>
      <c r="H126" s="273"/>
      <c r="I126" s="326"/>
    </row>
    <row r="127" spans="1:9" ht="12.75">
      <c r="A127" s="257"/>
      <c r="B127" s="337">
        <f>$B$21</f>
        <v>88264</v>
      </c>
      <c r="C127" s="260" t="s">
        <v>250</v>
      </c>
      <c r="D127" s="259" t="s">
        <v>36</v>
      </c>
      <c r="E127" s="280">
        <v>1</v>
      </c>
      <c r="F127" s="258">
        <f>$F$21</f>
        <v>19.52</v>
      </c>
      <c r="G127" s="258">
        <f>TRUNC((E127*F127),2)</f>
        <v>19.52</v>
      </c>
      <c r="H127" s="273"/>
      <c r="I127" s="322"/>
    </row>
    <row r="128" spans="1:9" ht="12.75">
      <c r="A128" s="257"/>
      <c r="B128" s="279">
        <f>$B$22</f>
        <v>88247</v>
      </c>
      <c r="C128" s="260" t="s">
        <v>284</v>
      </c>
      <c r="D128" s="344" t="s">
        <v>60</v>
      </c>
      <c r="E128" s="348">
        <v>1</v>
      </c>
      <c r="F128" s="258">
        <f>$F$22</f>
        <v>14.84</v>
      </c>
      <c r="G128" s="258">
        <f>TRUNC((E128*F128),2)</f>
        <v>14.84</v>
      </c>
      <c r="H128" s="273"/>
      <c r="I128" s="322"/>
    </row>
    <row r="129" spans="1:9" ht="12.75">
      <c r="A129" s="516" t="s">
        <v>437</v>
      </c>
      <c r="B129" s="517"/>
      <c r="C129" s="517"/>
      <c r="D129" s="517"/>
      <c r="E129" s="517"/>
      <c r="F129" s="518"/>
      <c r="G129" s="244">
        <f>SUM(G126:G128)</f>
        <v>91.74000000000001</v>
      </c>
      <c r="H129" s="273"/>
      <c r="I129" s="322"/>
    </row>
    <row r="130" spans="1:9" ht="12.75">
      <c r="A130" s="265"/>
      <c r="B130" s="265"/>
      <c r="C130" s="265"/>
      <c r="D130" s="265"/>
      <c r="E130" s="265"/>
      <c r="F130" s="265"/>
      <c r="G130" s="282"/>
      <c r="H130" s="273"/>
      <c r="I130" s="322"/>
    </row>
    <row r="131" spans="1:9" ht="12.75">
      <c r="A131" s="245" t="s">
        <v>37</v>
      </c>
      <c r="B131" s="257" t="s">
        <v>102</v>
      </c>
      <c r="C131" s="247" t="s">
        <v>55</v>
      </c>
      <c r="D131" s="245" t="s">
        <v>433</v>
      </c>
      <c r="E131" s="248" t="s">
        <v>434</v>
      </c>
      <c r="F131" s="249" t="s">
        <v>435</v>
      </c>
      <c r="G131" s="250" t="s">
        <v>436</v>
      </c>
      <c r="H131" s="273"/>
      <c r="I131" s="323"/>
    </row>
    <row r="132" spans="1:9" ht="12.75">
      <c r="A132" s="251" t="s">
        <v>478</v>
      </c>
      <c r="B132" s="252"/>
      <c r="C132" s="253" t="s">
        <v>238</v>
      </c>
      <c r="D132" s="254" t="s">
        <v>170</v>
      </c>
      <c r="E132" s="255">
        <v>1</v>
      </c>
      <c r="F132" s="256"/>
      <c r="G132" s="250"/>
      <c r="H132" s="273"/>
      <c r="I132" s="327"/>
    </row>
    <row r="133" spans="1:9" ht="12.75">
      <c r="A133" s="257"/>
      <c r="B133" s="279">
        <v>1872</v>
      </c>
      <c r="C133" s="281" t="s">
        <v>448</v>
      </c>
      <c r="D133" s="259" t="s">
        <v>57</v>
      </c>
      <c r="E133" s="280">
        <v>1</v>
      </c>
      <c r="F133" s="258">
        <v>1.61</v>
      </c>
      <c r="G133" s="258">
        <f>TRUNC((E133*F133),2)</f>
        <v>1.61</v>
      </c>
      <c r="H133" s="273"/>
      <c r="I133" s="326"/>
    </row>
    <row r="134" spans="1:9" ht="12.75">
      <c r="A134" s="257"/>
      <c r="B134" s="337">
        <f>$B$21</f>
        <v>88264</v>
      </c>
      <c r="C134" s="260" t="s">
        <v>250</v>
      </c>
      <c r="D134" s="259" t="s">
        <v>36</v>
      </c>
      <c r="E134" s="280">
        <v>0.1</v>
      </c>
      <c r="F134" s="258">
        <f>$F$21</f>
        <v>19.52</v>
      </c>
      <c r="G134" s="258">
        <f>TRUNC((E134*F134),2)</f>
        <v>1.95</v>
      </c>
      <c r="H134" s="273"/>
      <c r="I134" s="322"/>
    </row>
    <row r="135" spans="1:9" ht="12.75">
      <c r="A135" s="257"/>
      <c r="B135" s="279">
        <f>$B$22</f>
        <v>88247</v>
      </c>
      <c r="C135" s="260" t="s">
        <v>284</v>
      </c>
      <c r="D135" s="344" t="s">
        <v>60</v>
      </c>
      <c r="E135" s="348">
        <v>0.1</v>
      </c>
      <c r="F135" s="258">
        <f>$F$22</f>
        <v>14.84</v>
      </c>
      <c r="G135" s="258">
        <f>TRUNC((E135*F135),2)</f>
        <v>1.48</v>
      </c>
      <c r="H135" s="273"/>
      <c r="I135" s="322"/>
    </row>
    <row r="136" spans="1:9" ht="12.75">
      <c r="A136" s="516" t="s">
        <v>437</v>
      </c>
      <c r="B136" s="517"/>
      <c r="C136" s="517"/>
      <c r="D136" s="517"/>
      <c r="E136" s="517"/>
      <c r="F136" s="518"/>
      <c r="G136" s="244">
        <f>SUM(G133:G135)</f>
        <v>5.04</v>
      </c>
      <c r="H136" s="273"/>
      <c r="I136" s="322"/>
    </row>
    <row r="137" spans="1:9" ht="12.75">
      <c r="A137" s="265"/>
      <c r="B137" s="265"/>
      <c r="C137" s="265"/>
      <c r="D137" s="265"/>
      <c r="E137" s="265"/>
      <c r="F137" s="265"/>
      <c r="G137" s="282"/>
      <c r="H137" s="273"/>
      <c r="I137" s="322"/>
    </row>
    <row r="138" spans="1:9" ht="12.75">
      <c r="A138" s="245" t="s">
        <v>37</v>
      </c>
      <c r="B138" s="257" t="s">
        <v>102</v>
      </c>
      <c r="C138" s="247" t="s">
        <v>55</v>
      </c>
      <c r="D138" s="245" t="s">
        <v>433</v>
      </c>
      <c r="E138" s="248" t="s">
        <v>434</v>
      </c>
      <c r="F138" s="249" t="s">
        <v>435</v>
      </c>
      <c r="G138" s="250" t="s">
        <v>436</v>
      </c>
      <c r="H138" s="273"/>
      <c r="I138" s="323"/>
    </row>
    <row r="139" spans="1:9" ht="25.5">
      <c r="A139" s="251" t="s">
        <v>479</v>
      </c>
      <c r="B139" s="252"/>
      <c r="C139" s="253" t="s">
        <v>152</v>
      </c>
      <c r="D139" s="254" t="s">
        <v>42</v>
      </c>
      <c r="E139" s="255">
        <v>1</v>
      </c>
      <c r="F139" s="256"/>
      <c r="G139" s="250"/>
      <c r="H139" s="273"/>
      <c r="I139" s="327"/>
    </row>
    <row r="140" spans="1:9" ht="12.75">
      <c r="A140" s="257"/>
      <c r="B140" s="279">
        <v>2688</v>
      </c>
      <c r="C140" s="281" t="s">
        <v>449</v>
      </c>
      <c r="D140" s="259" t="s">
        <v>21</v>
      </c>
      <c r="E140" s="280">
        <v>1</v>
      </c>
      <c r="F140" s="258">
        <f>1.21*(1+G6)</f>
        <v>1.72425</v>
      </c>
      <c r="G140" s="258">
        <f>TRUNC((E140*F140),2)</f>
        <v>1.72</v>
      </c>
      <c r="H140" s="273"/>
      <c r="I140" s="326"/>
    </row>
    <row r="141" spans="1:9" ht="12.75">
      <c r="A141" s="257"/>
      <c r="B141" s="337">
        <f>$B$21</f>
        <v>88264</v>
      </c>
      <c r="C141" s="260" t="s">
        <v>250</v>
      </c>
      <c r="D141" s="259" t="s">
        <v>36</v>
      </c>
      <c r="E141" s="280">
        <v>0.1</v>
      </c>
      <c r="F141" s="258">
        <f>$F$21</f>
        <v>19.52</v>
      </c>
      <c r="G141" s="258">
        <f>TRUNC((E141*F141),2)</f>
        <v>1.95</v>
      </c>
      <c r="H141" s="273"/>
      <c r="I141" s="322"/>
    </row>
    <row r="142" spans="1:9" ht="12.75">
      <c r="A142" s="257"/>
      <c r="B142" s="279">
        <f>$B$22</f>
        <v>88247</v>
      </c>
      <c r="C142" s="260" t="s">
        <v>284</v>
      </c>
      <c r="D142" s="344" t="s">
        <v>60</v>
      </c>
      <c r="E142" s="348">
        <v>0.1</v>
      </c>
      <c r="F142" s="258">
        <f>$F$22</f>
        <v>14.84</v>
      </c>
      <c r="G142" s="258">
        <f>TRUNC((E142*F142),2)</f>
        <v>1.48</v>
      </c>
      <c r="H142" s="273"/>
      <c r="I142" s="322"/>
    </row>
    <row r="143" spans="1:9" ht="12.75">
      <c r="A143" s="516" t="s">
        <v>437</v>
      </c>
      <c r="B143" s="517"/>
      <c r="C143" s="517"/>
      <c r="D143" s="517"/>
      <c r="E143" s="517"/>
      <c r="F143" s="518"/>
      <c r="G143" s="244">
        <f>SUM(G140:G142)</f>
        <v>5.15</v>
      </c>
      <c r="H143" s="273"/>
      <c r="I143" s="322"/>
    </row>
    <row r="144" spans="1:9" ht="12.75">
      <c r="A144" s="265"/>
      <c r="B144" s="265"/>
      <c r="C144" s="265"/>
      <c r="D144" s="265"/>
      <c r="E144" s="265"/>
      <c r="F144" s="265"/>
      <c r="G144" s="282"/>
      <c r="H144" s="273"/>
      <c r="I144" s="322"/>
    </row>
    <row r="145" spans="1:9" ht="12.75">
      <c r="A145" s="245" t="s">
        <v>37</v>
      </c>
      <c r="B145" s="257" t="s">
        <v>102</v>
      </c>
      <c r="C145" s="247" t="s">
        <v>55</v>
      </c>
      <c r="D145" s="245" t="s">
        <v>433</v>
      </c>
      <c r="E145" s="248" t="s">
        <v>434</v>
      </c>
      <c r="F145" s="249" t="s">
        <v>435</v>
      </c>
      <c r="G145" s="250" t="s">
        <v>436</v>
      </c>
      <c r="H145" s="273"/>
      <c r="I145" s="323"/>
    </row>
    <row r="146" spans="1:9" ht="25.5">
      <c r="A146" s="251" t="s">
        <v>480</v>
      </c>
      <c r="B146" s="252"/>
      <c r="C146" s="253" t="s">
        <v>116</v>
      </c>
      <c r="D146" s="254" t="s">
        <v>106</v>
      </c>
      <c r="E146" s="255">
        <v>1</v>
      </c>
      <c r="F146" s="256"/>
      <c r="G146" s="250"/>
      <c r="H146" s="273"/>
      <c r="I146" s="327"/>
    </row>
    <row r="147" spans="1:9" ht="12.75">
      <c r="A147" s="257"/>
      <c r="B147" s="279"/>
      <c r="C147" s="281" t="s">
        <v>450</v>
      </c>
      <c r="D147" s="259" t="s">
        <v>57</v>
      </c>
      <c r="E147" s="280">
        <v>1</v>
      </c>
      <c r="F147" s="258">
        <f>751.8*(1+G6)</f>
        <v>1071.315</v>
      </c>
      <c r="G147" s="258">
        <f>TRUNC((E147*F147),2)</f>
        <v>1071.31</v>
      </c>
      <c r="H147" s="273"/>
      <c r="I147" s="326"/>
    </row>
    <row r="148" spans="1:9" ht="12.75">
      <c r="A148" s="257"/>
      <c r="B148" s="337">
        <f>$B$21</f>
        <v>88264</v>
      </c>
      <c r="C148" s="260" t="s">
        <v>250</v>
      </c>
      <c r="D148" s="259" t="s">
        <v>36</v>
      </c>
      <c r="E148" s="280">
        <v>0.3</v>
      </c>
      <c r="F148" s="258">
        <f>$F$21</f>
        <v>19.52</v>
      </c>
      <c r="G148" s="258">
        <f>TRUNC((E148*F148),2)</f>
        <v>5.85</v>
      </c>
      <c r="H148" s="273"/>
      <c r="I148" s="322"/>
    </row>
    <row r="149" spans="1:9" ht="12.75">
      <c r="A149" s="257"/>
      <c r="B149" s="279">
        <f>$B$22</f>
        <v>88247</v>
      </c>
      <c r="C149" s="260" t="s">
        <v>284</v>
      </c>
      <c r="D149" s="344" t="s">
        <v>60</v>
      </c>
      <c r="E149" s="348">
        <v>0.3</v>
      </c>
      <c r="F149" s="258">
        <f>$F$22</f>
        <v>14.84</v>
      </c>
      <c r="G149" s="258">
        <f>TRUNC((E149*F149),2)</f>
        <v>4.45</v>
      </c>
      <c r="H149" s="273"/>
      <c r="I149" s="322"/>
    </row>
    <row r="150" spans="1:9" ht="12.75">
      <c r="A150" s="516" t="s">
        <v>437</v>
      </c>
      <c r="B150" s="517"/>
      <c r="C150" s="517"/>
      <c r="D150" s="517"/>
      <c r="E150" s="517"/>
      <c r="F150" s="518"/>
      <c r="G150" s="244">
        <f>SUM(G147:G149)</f>
        <v>1081.61</v>
      </c>
      <c r="H150" s="273"/>
      <c r="I150" s="322"/>
    </row>
    <row r="151" spans="1:9" ht="12.75">
      <c r="A151" s="265"/>
      <c r="B151" s="265"/>
      <c r="C151" s="265"/>
      <c r="D151" s="265"/>
      <c r="E151" s="265"/>
      <c r="F151" s="265"/>
      <c r="G151" s="282"/>
      <c r="H151" s="273"/>
      <c r="I151" s="322"/>
    </row>
    <row r="152" spans="1:9" ht="12.75">
      <c r="A152" s="245" t="s">
        <v>37</v>
      </c>
      <c r="B152" s="257" t="s">
        <v>102</v>
      </c>
      <c r="C152" s="247" t="s">
        <v>55</v>
      </c>
      <c r="D152" s="245" t="s">
        <v>433</v>
      </c>
      <c r="E152" s="248" t="s">
        <v>434</v>
      </c>
      <c r="F152" s="249" t="s">
        <v>435</v>
      </c>
      <c r="G152" s="250" t="s">
        <v>436</v>
      </c>
      <c r="H152" s="273"/>
      <c r="I152" s="323"/>
    </row>
    <row r="153" spans="1:9" ht="25.5">
      <c r="A153" s="251" t="s">
        <v>481</v>
      </c>
      <c r="B153" s="252"/>
      <c r="C153" s="253" t="s">
        <v>272</v>
      </c>
      <c r="D153" s="254" t="s">
        <v>38</v>
      </c>
      <c r="E153" s="255">
        <v>1</v>
      </c>
      <c r="F153" s="256"/>
      <c r="G153" s="250"/>
      <c r="H153" s="273"/>
      <c r="I153" s="327"/>
    </row>
    <row r="154" spans="1:9" ht="12.75">
      <c r="A154" s="257"/>
      <c r="B154" s="279"/>
      <c r="C154" s="281" t="s">
        <v>273</v>
      </c>
      <c r="D154" s="259" t="s">
        <v>57</v>
      </c>
      <c r="E154" s="280">
        <v>1</v>
      </c>
      <c r="F154" s="258">
        <f>34.62*(1+G6)</f>
        <v>49.3335</v>
      </c>
      <c r="G154" s="258">
        <f>TRUNC((E154*F154),2)</f>
        <v>49.33</v>
      </c>
      <c r="H154" s="273"/>
      <c r="I154" s="326"/>
    </row>
    <row r="155" spans="1:9" ht="12.75">
      <c r="A155" s="257"/>
      <c r="B155" s="279">
        <v>247</v>
      </c>
      <c r="C155" s="260" t="s">
        <v>284</v>
      </c>
      <c r="D155" s="344" t="s">
        <v>60</v>
      </c>
      <c r="E155" s="348">
        <v>0.12</v>
      </c>
      <c r="F155" s="258">
        <f>$F$22</f>
        <v>14.84</v>
      </c>
      <c r="G155" s="258">
        <f>TRUNC((E155*F155),2)</f>
        <v>1.78</v>
      </c>
      <c r="H155" s="273"/>
      <c r="I155" s="322"/>
    </row>
    <row r="156" spans="1:9" ht="12.75">
      <c r="A156" s="516" t="s">
        <v>437</v>
      </c>
      <c r="B156" s="517"/>
      <c r="C156" s="517"/>
      <c r="D156" s="517"/>
      <c r="E156" s="517"/>
      <c r="F156" s="518"/>
      <c r="G156" s="244">
        <f>SUM(G154:G155)</f>
        <v>51.11</v>
      </c>
      <c r="H156" s="273"/>
      <c r="I156" s="322"/>
    </row>
    <row r="157" spans="1:9" ht="12.75">
      <c r="A157" s="265"/>
      <c r="B157" s="265"/>
      <c r="C157" s="265"/>
      <c r="D157" s="265"/>
      <c r="E157" s="265"/>
      <c r="F157" s="265"/>
      <c r="G157" s="282"/>
      <c r="H157" s="273"/>
      <c r="I157" s="322"/>
    </row>
    <row r="158" spans="1:9" ht="12.75">
      <c r="A158" s="245" t="s">
        <v>37</v>
      </c>
      <c r="B158" s="257" t="s">
        <v>102</v>
      </c>
      <c r="C158" s="247" t="s">
        <v>55</v>
      </c>
      <c r="D158" s="245" t="s">
        <v>433</v>
      </c>
      <c r="E158" s="248" t="s">
        <v>434</v>
      </c>
      <c r="F158" s="249" t="s">
        <v>435</v>
      </c>
      <c r="G158" s="250" t="s">
        <v>436</v>
      </c>
      <c r="H158" s="273"/>
      <c r="I158" s="323"/>
    </row>
    <row r="159" spans="1:9" ht="12.75">
      <c r="A159" s="251" t="s">
        <v>482</v>
      </c>
      <c r="B159" s="252"/>
      <c r="C159" s="253" t="s">
        <v>146</v>
      </c>
      <c r="D159" s="254" t="s">
        <v>38</v>
      </c>
      <c r="E159" s="255">
        <v>1</v>
      </c>
      <c r="F159" s="256"/>
      <c r="G159" s="250"/>
      <c r="H159" s="273"/>
      <c r="I159" s="327"/>
    </row>
    <row r="160" spans="1:9" ht="12.75">
      <c r="A160" s="257"/>
      <c r="B160" s="279"/>
      <c r="C160" s="281" t="s">
        <v>451</v>
      </c>
      <c r="D160" s="259" t="s">
        <v>57</v>
      </c>
      <c r="E160" s="280">
        <v>1</v>
      </c>
      <c r="F160" s="258">
        <f>26.62*(1+G6)</f>
        <v>37.9335</v>
      </c>
      <c r="G160" s="258">
        <f>TRUNC((E160*F160),2)</f>
        <v>37.93</v>
      </c>
      <c r="H160" s="273"/>
      <c r="I160" s="326"/>
    </row>
    <row r="161" spans="1:9" ht="12.75">
      <c r="A161" s="257"/>
      <c r="B161" s="337">
        <f>$B$21</f>
        <v>88264</v>
      </c>
      <c r="C161" s="260" t="s">
        <v>250</v>
      </c>
      <c r="D161" s="259" t="s">
        <v>36</v>
      </c>
      <c r="E161" s="280">
        <v>0.1</v>
      </c>
      <c r="F161" s="258">
        <f>$F$21</f>
        <v>19.52</v>
      </c>
      <c r="G161" s="258">
        <f>TRUNC((E161*F161),2)</f>
        <v>1.95</v>
      </c>
      <c r="H161" s="273"/>
      <c r="I161" s="322"/>
    </row>
    <row r="162" spans="1:9" ht="12.75">
      <c r="A162" s="257"/>
      <c r="B162" s="279">
        <f>$B$22</f>
        <v>88247</v>
      </c>
      <c r="C162" s="260" t="s">
        <v>284</v>
      </c>
      <c r="D162" s="344" t="s">
        <v>60</v>
      </c>
      <c r="E162" s="348">
        <v>0.1</v>
      </c>
      <c r="F162" s="258">
        <f>$F$22</f>
        <v>14.84</v>
      </c>
      <c r="G162" s="258">
        <f>TRUNC((E162*F162),2)</f>
        <v>1.48</v>
      </c>
      <c r="H162" s="273"/>
      <c r="I162" s="322"/>
    </row>
    <row r="163" spans="1:9" ht="12.75">
      <c r="A163" s="516" t="s">
        <v>437</v>
      </c>
      <c r="B163" s="517"/>
      <c r="C163" s="517"/>
      <c r="D163" s="517"/>
      <c r="E163" s="517"/>
      <c r="F163" s="518"/>
      <c r="G163" s="244">
        <f>SUM(G160:G162)</f>
        <v>41.36</v>
      </c>
      <c r="H163" s="273"/>
      <c r="I163" s="322"/>
    </row>
    <row r="164" spans="1:9" ht="12.75">
      <c r="A164" s="265"/>
      <c r="B164" s="265"/>
      <c r="C164" s="265"/>
      <c r="D164" s="265"/>
      <c r="E164" s="265"/>
      <c r="F164" s="265"/>
      <c r="G164" s="282"/>
      <c r="H164" s="273"/>
      <c r="I164" s="322"/>
    </row>
    <row r="165" spans="1:9" ht="12.75">
      <c r="A165" s="245" t="s">
        <v>37</v>
      </c>
      <c r="B165" s="257" t="s">
        <v>102</v>
      </c>
      <c r="C165" s="247" t="s">
        <v>55</v>
      </c>
      <c r="D165" s="245" t="s">
        <v>433</v>
      </c>
      <c r="E165" s="248" t="s">
        <v>434</v>
      </c>
      <c r="F165" s="249" t="s">
        <v>435</v>
      </c>
      <c r="G165" s="250" t="s">
        <v>436</v>
      </c>
      <c r="H165" s="273"/>
      <c r="I165" s="323"/>
    </row>
    <row r="166" spans="1:9" ht="25.5">
      <c r="A166" s="251" t="s">
        <v>483</v>
      </c>
      <c r="B166" s="252"/>
      <c r="C166" s="253" t="s">
        <v>349</v>
      </c>
      <c r="D166" s="254" t="s">
        <v>106</v>
      </c>
      <c r="E166" s="255">
        <v>1</v>
      </c>
      <c r="F166" s="256"/>
      <c r="G166" s="250"/>
      <c r="H166" s="273"/>
      <c r="I166" s="327"/>
    </row>
    <row r="167" spans="1:9" ht="12.75">
      <c r="A167" s="257"/>
      <c r="B167" s="279"/>
      <c r="C167" s="281" t="s">
        <v>452</v>
      </c>
      <c r="D167" s="259" t="s">
        <v>57</v>
      </c>
      <c r="E167" s="280">
        <v>1</v>
      </c>
      <c r="F167" s="258">
        <f>97.51*(1+G6)</f>
        <v>138.95175</v>
      </c>
      <c r="G167" s="258">
        <f>TRUNC((E167*F167),2)</f>
        <v>138.95</v>
      </c>
      <c r="H167" s="273"/>
      <c r="I167" s="326"/>
    </row>
    <row r="168" spans="1:9" ht="12.75">
      <c r="A168" s="257"/>
      <c r="B168" s="337">
        <f>$B$21</f>
        <v>88264</v>
      </c>
      <c r="C168" s="260" t="s">
        <v>250</v>
      </c>
      <c r="D168" s="259" t="s">
        <v>36</v>
      </c>
      <c r="E168" s="280">
        <v>0.5</v>
      </c>
      <c r="F168" s="258">
        <f>$F$21</f>
        <v>19.52</v>
      </c>
      <c r="G168" s="258">
        <f>TRUNC((E168*F168),2)</f>
        <v>9.76</v>
      </c>
      <c r="H168" s="273"/>
      <c r="I168" s="322"/>
    </row>
    <row r="169" spans="1:9" ht="12.75">
      <c r="A169" s="257"/>
      <c r="B169" s="279">
        <f>$B$22</f>
        <v>88247</v>
      </c>
      <c r="C169" s="260" t="s">
        <v>284</v>
      </c>
      <c r="D169" s="344" t="s">
        <v>60</v>
      </c>
      <c r="E169" s="348">
        <v>0.5</v>
      </c>
      <c r="F169" s="258">
        <f>$F$22</f>
        <v>14.84</v>
      </c>
      <c r="G169" s="258">
        <f>TRUNC((E169*F169),2)</f>
        <v>7.42</v>
      </c>
      <c r="H169" s="273"/>
      <c r="I169" s="322"/>
    </row>
    <row r="170" spans="1:9" ht="12.75">
      <c r="A170" s="516" t="s">
        <v>437</v>
      </c>
      <c r="B170" s="517"/>
      <c r="C170" s="517"/>
      <c r="D170" s="517"/>
      <c r="E170" s="517"/>
      <c r="F170" s="518"/>
      <c r="G170" s="244">
        <f>SUM(G167:G169)</f>
        <v>156.12999999999997</v>
      </c>
      <c r="H170" s="273"/>
      <c r="I170" s="322"/>
    </row>
    <row r="171" spans="1:9" ht="12.75">
      <c r="A171" s="265"/>
      <c r="B171" s="265"/>
      <c r="C171" s="265"/>
      <c r="D171" s="265"/>
      <c r="E171" s="265"/>
      <c r="F171" s="265"/>
      <c r="G171" s="282"/>
      <c r="H171" s="273"/>
      <c r="I171" s="322"/>
    </row>
    <row r="172" spans="1:9" ht="12.75">
      <c r="A172" s="245" t="s">
        <v>37</v>
      </c>
      <c r="B172" s="257" t="s">
        <v>102</v>
      </c>
      <c r="C172" s="247" t="s">
        <v>55</v>
      </c>
      <c r="D172" s="245" t="s">
        <v>433</v>
      </c>
      <c r="E172" s="248" t="s">
        <v>434</v>
      </c>
      <c r="F172" s="249" t="s">
        <v>435</v>
      </c>
      <c r="G172" s="250" t="s">
        <v>436</v>
      </c>
      <c r="H172" s="273"/>
      <c r="I172" s="323"/>
    </row>
    <row r="173" spans="1:9" ht="12.75">
      <c r="A173" s="251" t="s">
        <v>484</v>
      </c>
      <c r="B173" s="252"/>
      <c r="C173" s="253" t="s">
        <v>351</v>
      </c>
      <c r="D173" s="254" t="s">
        <v>106</v>
      </c>
      <c r="E173" s="255">
        <v>1</v>
      </c>
      <c r="F173" s="256"/>
      <c r="G173" s="250"/>
      <c r="H173" s="273"/>
      <c r="I173" s="327"/>
    </row>
    <row r="174" spans="1:9" ht="12.75">
      <c r="A174" s="257"/>
      <c r="B174" s="279"/>
      <c r="C174" s="281" t="s">
        <v>453</v>
      </c>
      <c r="D174" s="259" t="s">
        <v>57</v>
      </c>
      <c r="E174" s="280">
        <v>1</v>
      </c>
      <c r="F174" s="258">
        <f>6.24*(1+G6)</f>
        <v>8.892000000000001</v>
      </c>
      <c r="G174" s="258">
        <f>TRUNC((E174*F174),2)</f>
        <v>8.89</v>
      </c>
      <c r="H174" s="273"/>
      <c r="I174" s="326"/>
    </row>
    <row r="175" spans="1:9" ht="12.75">
      <c r="A175" s="257"/>
      <c r="B175" s="337">
        <f>$B$21</f>
        <v>88264</v>
      </c>
      <c r="C175" s="260" t="s">
        <v>250</v>
      </c>
      <c r="D175" s="259" t="s">
        <v>36</v>
      </c>
      <c r="E175" s="280">
        <v>0.2</v>
      </c>
      <c r="F175" s="258">
        <f>$F$21</f>
        <v>19.52</v>
      </c>
      <c r="G175" s="258">
        <f>TRUNC((E175*F175),2)</f>
        <v>3.9</v>
      </c>
      <c r="H175" s="273"/>
      <c r="I175" s="322"/>
    </row>
    <row r="176" spans="1:9" ht="12.75">
      <c r="A176" s="257"/>
      <c r="B176" s="279">
        <f>$B$22</f>
        <v>88247</v>
      </c>
      <c r="C176" s="260" t="s">
        <v>284</v>
      </c>
      <c r="D176" s="344" t="s">
        <v>60</v>
      </c>
      <c r="E176" s="348">
        <v>0.2</v>
      </c>
      <c r="F176" s="258">
        <f>$F$22</f>
        <v>14.84</v>
      </c>
      <c r="G176" s="258">
        <f>TRUNC((E176*F176),2)</f>
        <v>2.96</v>
      </c>
      <c r="H176" s="273"/>
      <c r="I176" s="322"/>
    </row>
    <row r="177" spans="1:9" ht="12.75">
      <c r="A177" s="516" t="s">
        <v>437</v>
      </c>
      <c r="B177" s="517"/>
      <c r="C177" s="517"/>
      <c r="D177" s="517"/>
      <c r="E177" s="517"/>
      <c r="F177" s="518"/>
      <c r="G177" s="244">
        <f>SUM(G174:G176)</f>
        <v>15.75</v>
      </c>
      <c r="H177" s="273"/>
      <c r="I177" s="322"/>
    </row>
    <row r="178" spans="1:9" ht="12.75">
      <c r="A178" s="265"/>
      <c r="B178" s="265"/>
      <c r="C178" s="265"/>
      <c r="D178" s="265"/>
      <c r="E178" s="265"/>
      <c r="F178" s="265"/>
      <c r="G178" s="282"/>
      <c r="H178" s="273"/>
      <c r="I178" s="322"/>
    </row>
    <row r="179" spans="1:9" ht="12.75">
      <c r="A179" s="245" t="s">
        <v>37</v>
      </c>
      <c r="B179" s="257" t="s">
        <v>102</v>
      </c>
      <c r="C179" s="247" t="s">
        <v>55</v>
      </c>
      <c r="D179" s="245" t="s">
        <v>433</v>
      </c>
      <c r="E179" s="248" t="s">
        <v>434</v>
      </c>
      <c r="F179" s="249" t="s">
        <v>435</v>
      </c>
      <c r="G179" s="250" t="s">
        <v>436</v>
      </c>
      <c r="H179" s="273"/>
      <c r="I179" s="323"/>
    </row>
    <row r="180" spans="1:9" ht="12.75">
      <c r="A180" s="251" t="s">
        <v>485</v>
      </c>
      <c r="B180" s="252"/>
      <c r="C180" s="253" t="s">
        <v>352</v>
      </c>
      <c r="D180" s="254" t="s">
        <v>106</v>
      </c>
      <c r="E180" s="255">
        <v>1</v>
      </c>
      <c r="F180" s="256"/>
      <c r="G180" s="250"/>
      <c r="H180" s="273"/>
      <c r="I180" s="327"/>
    </row>
    <row r="181" spans="1:9" ht="12.75">
      <c r="A181" s="257"/>
      <c r="B181" s="279"/>
      <c r="C181" s="281" t="s">
        <v>353</v>
      </c>
      <c r="D181" s="259" t="s">
        <v>106</v>
      </c>
      <c r="E181" s="280">
        <v>1</v>
      </c>
      <c r="F181" s="258">
        <f>7.14*(1+G6)</f>
        <v>10.1745</v>
      </c>
      <c r="G181" s="258">
        <f>TRUNC((E181*F181),2)</f>
        <v>10.17</v>
      </c>
      <c r="H181" s="273"/>
      <c r="I181" s="326"/>
    </row>
    <row r="182" spans="1:9" ht="12.75">
      <c r="A182" s="257"/>
      <c r="B182" s="337">
        <f>$B$21</f>
        <v>88264</v>
      </c>
      <c r="C182" s="260" t="s">
        <v>250</v>
      </c>
      <c r="D182" s="259" t="s">
        <v>36</v>
      </c>
      <c r="E182" s="280">
        <v>0.5</v>
      </c>
      <c r="F182" s="258">
        <f>$F$21</f>
        <v>19.52</v>
      </c>
      <c r="G182" s="258">
        <f>TRUNC((E182*F182),2)</f>
        <v>9.76</v>
      </c>
      <c r="H182" s="273"/>
      <c r="I182" s="322"/>
    </row>
    <row r="183" spans="1:9" ht="12.75">
      <c r="A183" s="257"/>
      <c r="B183" s="279">
        <f>$B$22</f>
        <v>88247</v>
      </c>
      <c r="C183" s="260" t="s">
        <v>284</v>
      </c>
      <c r="D183" s="344" t="s">
        <v>60</v>
      </c>
      <c r="E183" s="348">
        <v>0.5</v>
      </c>
      <c r="F183" s="258">
        <f>$F$22</f>
        <v>14.84</v>
      </c>
      <c r="G183" s="258">
        <f>TRUNC((E183*F183),2)</f>
        <v>7.42</v>
      </c>
      <c r="H183" s="273"/>
      <c r="I183" s="322"/>
    </row>
    <row r="184" spans="1:9" ht="12.75">
      <c r="A184" s="516" t="s">
        <v>437</v>
      </c>
      <c r="B184" s="517"/>
      <c r="C184" s="517"/>
      <c r="D184" s="517"/>
      <c r="E184" s="517"/>
      <c r="F184" s="518"/>
      <c r="G184" s="244">
        <f>SUM(G181:G183)</f>
        <v>27.35</v>
      </c>
      <c r="H184" s="273"/>
      <c r="I184" s="322"/>
    </row>
    <row r="185" spans="1:9" ht="12.75">
      <c r="A185" s="265"/>
      <c r="B185" s="265"/>
      <c r="C185" s="265"/>
      <c r="D185" s="265"/>
      <c r="E185" s="265"/>
      <c r="F185" s="265"/>
      <c r="G185" s="282"/>
      <c r="H185" s="273"/>
      <c r="I185" s="322"/>
    </row>
    <row r="186" spans="1:9" ht="12.75">
      <c r="A186" s="245" t="s">
        <v>37</v>
      </c>
      <c r="B186" s="257" t="s">
        <v>102</v>
      </c>
      <c r="C186" s="247" t="s">
        <v>55</v>
      </c>
      <c r="D186" s="245" t="s">
        <v>433</v>
      </c>
      <c r="E186" s="248" t="s">
        <v>434</v>
      </c>
      <c r="F186" s="249" t="s">
        <v>435</v>
      </c>
      <c r="G186" s="250" t="s">
        <v>436</v>
      </c>
      <c r="H186" s="273"/>
      <c r="I186" s="323"/>
    </row>
    <row r="187" spans="1:9" ht="25.5">
      <c r="A187" s="251" t="s">
        <v>486</v>
      </c>
      <c r="B187" s="252"/>
      <c r="C187" s="253" t="s">
        <v>359</v>
      </c>
      <c r="D187" s="254" t="s">
        <v>106</v>
      </c>
      <c r="E187" s="255">
        <v>1</v>
      </c>
      <c r="F187" s="256"/>
      <c r="G187" s="250"/>
      <c r="H187" s="273"/>
      <c r="I187" s="327"/>
    </row>
    <row r="188" spans="1:9" ht="12.75">
      <c r="A188" s="257"/>
      <c r="B188" s="279"/>
      <c r="C188" s="281" t="s">
        <v>454</v>
      </c>
      <c r="D188" s="259" t="s">
        <v>106</v>
      </c>
      <c r="E188" s="280">
        <v>1</v>
      </c>
      <c r="F188" s="258">
        <f>88.82*(1+G6)</f>
        <v>126.5685</v>
      </c>
      <c r="G188" s="258">
        <f>TRUNC((E188*F188),2)</f>
        <v>126.56</v>
      </c>
      <c r="H188" s="273"/>
      <c r="I188" s="326"/>
    </row>
    <row r="189" spans="1:9" ht="12.75">
      <c r="A189" s="257"/>
      <c r="B189" s="337">
        <f>$B$21</f>
        <v>88264</v>
      </c>
      <c r="C189" s="260" t="s">
        <v>250</v>
      </c>
      <c r="D189" s="259" t="s">
        <v>36</v>
      </c>
      <c r="E189" s="280">
        <v>1</v>
      </c>
      <c r="F189" s="258">
        <f>$F$21</f>
        <v>19.52</v>
      </c>
      <c r="G189" s="258">
        <f>TRUNC((E189*F189),2)</f>
        <v>19.52</v>
      </c>
      <c r="H189" s="273"/>
      <c r="I189" s="322"/>
    </row>
    <row r="190" spans="1:9" ht="12.75">
      <c r="A190" s="257"/>
      <c r="B190" s="279">
        <f>$B$22</f>
        <v>88247</v>
      </c>
      <c r="C190" s="260" t="s">
        <v>284</v>
      </c>
      <c r="D190" s="344" t="s">
        <v>60</v>
      </c>
      <c r="E190" s="348">
        <v>1</v>
      </c>
      <c r="F190" s="258">
        <f>$F$22</f>
        <v>14.84</v>
      </c>
      <c r="G190" s="258">
        <f>TRUNC((E190*F190),2)</f>
        <v>14.84</v>
      </c>
      <c r="H190" s="273"/>
      <c r="I190" s="322"/>
    </row>
    <row r="191" spans="1:9" ht="12.75">
      <c r="A191" s="516" t="s">
        <v>437</v>
      </c>
      <c r="B191" s="517"/>
      <c r="C191" s="517"/>
      <c r="D191" s="517"/>
      <c r="E191" s="517"/>
      <c r="F191" s="518"/>
      <c r="G191" s="244">
        <f>SUM(G188:G190)</f>
        <v>160.92000000000002</v>
      </c>
      <c r="H191" s="273"/>
      <c r="I191" s="322"/>
    </row>
    <row r="192" spans="1:9" ht="12.75">
      <c r="A192" s="265"/>
      <c r="B192" s="265"/>
      <c r="C192" s="265"/>
      <c r="D192" s="265"/>
      <c r="E192" s="265"/>
      <c r="F192" s="265"/>
      <c r="G192" s="282"/>
      <c r="H192" s="273"/>
      <c r="I192" s="322"/>
    </row>
    <row r="193" spans="1:9" ht="12.75">
      <c r="A193" s="245" t="s">
        <v>37</v>
      </c>
      <c r="B193" s="257" t="s">
        <v>102</v>
      </c>
      <c r="C193" s="247" t="s">
        <v>55</v>
      </c>
      <c r="D193" s="245" t="s">
        <v>433</v>
      </c>
      <c r="E193" s="248" t="s">
        <v>434</v>
      </c>
      <c r="F193" s="249" t="s">
        <v>435</v>
      </c>
      <c r="G193" s="250" t="s">
        <v>436</v>
      </c>
      <c r="H193" s="273"/>
      <c r="I193" s="323"/>
    </row>
    <row r="194" spans="1:9" ht="12.75">
      <c r="A194" s="251" t="s">
        <v>487</v>
      </c>
      <c r="B194" s="252"/>
      <c r="C194" s="253" t="s">
        <v>357</v>
      </c>
      <c r="D194" s="254" t="s">
        <v>106</v>
      </c>
      <c r="E194" s="255">
        <v>1</v>
      </c>
      <c r="F194" s="256"/>
      <c r="G194" s="250"/>
      <c r="H194" s="273"/>
      <c r="I194" s="327"/>
    </row>
    <row r="195" spans="1:9" ht="12.75">
      <c r="A195" s="257"/>
      <c r="B195" s="279"/>
      <c r="C195" s="281" t="s">
        <v>358</v>
      </c>
      <c r="D195" s="259" t="s">
        <v>106</v>
      </c>
      <c r="E195" s="280">
        <v>1</v>
      </c>
      <c r="F195" s="258">
        <f>5.34*(1+G6)</f>
        <v>7.6095</v>
      </c>
      <c r="G195" s="258">
        <f>TRUNC((E195*F195),2)</f>
        <v>7.6</v>
      </c>
      <c r="H195" s="273"/>
      <c r="I195" s="326"/>
    </row>
    <row r="196" spans="1:9" ht="12.75">
      <c r="A196" s="257"/>
      <c r="B196" s="337">
        <f>$B$21</f>
        <v>88264</v>
      </c>
      <c r="C196" s="260" t="s">
        <v>250</v>
      </c>
      <c r="D196" s="259" t="s">
        <v>36</v>
      </c>
      <c r="E196" s="280">
        <v>0.15</v>
      </c>
      <c r="F196" s="258">
        <f>$F$21</f>
        <v>19.52</v>
      </c>
      <c r="G196" s="258">
        <f>TRUNC((E196*F196),2)</f>
        <v>2.92</v>
      </c>
      <c r="H196" s="273"/>
      <c r="I196" s="322"/>
    </row>
    <row r="197" spans="1:9" ht="12.75">
      <c r="A197" s="257"/>
      <c r="B197" s="279">
        <f>$B$22</f>
        <v>88247</v>
      </c>
      <c r="C197" s="260" t="s">
        <v>284</v>
      </c>
      <c r="D197" s="344" t="s">
        <v>60</v>
      </c>
      <c r="E197" s="348">
        <v>0.15</v>
      </c>
      <c r="F197" s="258">
        <f>$F$22</f>
        <v>14.84</v>
      </c>
      <c r="G197" s="258">
        <f>TRUNC((E197*F197),2)</f>
        <v>2.22</v>
      </c>
      <c r="H197" s="273"/>
      <c r="I197" s="322"/>
    </row>
    <row r="198" spans="1:9" ht="12.75">
      <c r="A198" s="516" t="s">
        <v>437</v>
      </c>
      <c r="B198" s="517"/>
      <c r="C198" s="517"/>
      <c r="D198" s="517"/>
      <c r="E198" s="517"/>
      <c r="F198" s="518"/>
      <c r="G198" s="244">
        <f>SUM(G195:G197)</f>
        <v>12.74</v>
      </c>
      <c r="H198" s="273"/>
      <c r="I198" s="322"/>
    </row>
    <row r="199" spans="1:9" ht="12.75">
      <c r="A199" s="265"/>
      <c r="B199" s="265"/>
      <c r="C199" s="265"/>
      <c r="D199" s="265"/>
      <c r="E199" s="265"/>
      <c r="F199" s="265"/>
      <c r="G199" s="282"/>
      <c r="H199" s="273"/>
      <c r="I199" s="322"/>
    </row>
    <row r="200" spans="1:9" ht="12.75">
      <c r="A200" s="245" t="s">
        <v>37</v>
      </c>
      <c r="B200" s="257" t="s">
        <v>102</v>
      </c>
      <c r="C200" s="247" t="s">
        <v>55</v>
      </c>
      <c r="D200" s="245" t="s">
        <v>433</v>
      </c>
      <c r="E200" s="248" t="s">
        <v>434</v>
      </c>
      <c r="F200" s="249" t="s">
        <v>435</v>
      </c>
      <c r="G200" s="250" t="s">
        <v>436</v>
      </c>
      <c r="H200" s="273"/>
      <c r="I200" s="323"/>
    </row>
    <row r="201" spans="1:9" ht="12.75">
      <c r="A201" s="251" t="s">
        <v>488</v>
      </c>
      <c r="B201" s="252"/>
      <c r="C201" s="253" t="s">
        <v>266</v>
      </c>
      <c r="D201" s="254" t="s">
        <v>106</v>
      </c>
      <c r="E201" s="255">
        <v>1</v>
      </c>
      <c r="F201" s="256"/>
      <c r="G201" s="250"/>
      <c r="H201" s="273"/>
      <c r="I201" s="327"/>
    </row>
    <row r="202" spans="1:9" ht="12.75">
      <c r="A202" s="257"/>
      <c r="B202" s="279"/>
      <c r="C202" s="281" t="s">
        <v>267</v>
      </c>
      <c r="D202" s="259" t="s">
        <v>106</v>
      </c>
      <c r="E202" s="280">
        <v>2</v>
      </c>
      <c r="F202" s="258">
        <f>1.34*(1+G6)</f>
        <v>1.9095000000000002</v>
      </c>
      <c r="G202" s="258">
        <f>TRUNC((E202*F202),2)</f>
        <v>3.81</v>
      </c>
      <c r="H202" s="273"/>
      <c r="I202" s="326"/>
    </row>
    <row r="203" spans="1:9" ht="12.75">
      <c r="A203" s="257"/>
      <c r="B203" s="337">
        <f>$B$21</f>
        <v>88264</v>
      </c>
      <c r="C203" s="260" t="s">
        <v>250</v>
      </c>
      <c r="D203" s="259" t="s">
        <v>36</v>
      </c>
      <c r="E203" s="280">
        <v>0.15</v>
      </c>
      <c r="F203" s="258">
        <f>$F$21</f>
        <v>19.52</v>
      </c>
      <c r="G203" s="258">
        <f>TRUNC((E203*F203),2)</f>
        <v>2.92</v>
      </c>
      <c r="H203" s="273"/>
      <c r="I203" s="322"/>
    </row>
    <row r="204" spans="1:9" ht="12.75">
      <c r="A204" s="257"/>
      <c r="B204" s="279">
        <f>$B$22</f>
        <v>88247</v>
      </c>
      <c r="C204" s="260" t="s">
        <v>284</v>
      </c>
      <c r="D204" s="344" t="s">
        <v>60</v>
      </c>
      <c r="E204" s="348">
        <v>0.15</v>
      </c>
      <c r="F204" s="258">
        <f>$F$22</f>
        <v>14.84</v>
      </c>
      <c r="G204" s="258">
        <f>TRUNC((E204*F204),2)</f>
        <v>2.22</v>
      </c>
      <c r="H204" s="273"/>
      <c r="I204" s="322"/>
    </row>
    <row r="205" spans="1:9" ht="12.75">
      <c r="A205" s="516" t="s">
        <v>437</v>
      </c>
      <c r="B205" s="517"/>
      <c r="C205" s="517"/>
      <c r="D205" s="517"/>
      <c r="E205" s="517"/>
      <c r="F205" s="518"/>
      <c r="G205" s="244">
        <f>SUM(G202:G204)</f>
        <v>8.950000000000001</v>
      </c>
      <c r="H205" s="273"/>
      <c r="I205" s="322"/>
    </row>
    <row r="206" spans="1:9" ht="12.75">
      <c r="A206" s="265"/>
      <c r="B206" s="265"/>
      <c r="C206" s="265"/>
      <c r="D206" s="265"/>
      <c r="E206" s="265"/>
      <c r="F206" s="265"/>
      <c r="G206" s="282"/>
      <c r="H206" s="273"/>
      <c r="I206" s="322"/>
    </row>
    <row r="207" spans="1:9" ht="12.75">
      <c r="A207" s="245" t="s">
        <v>37</v>
      </c>
      <c r="B207" s="257" t="s">
        <v>102</v>
      </c>
      <c r="C207" s="247" t="s">
        <v>55</v>
      </c>
      <c r="D207" s="245" t="s">
        <v>433</v>
      </c>
      <c r="E207" s="248" t="s">
        <v>434</v>
      </c>
      <c r="F207" s="249" t="s">
        <v>435</v>
      </c>
      <c r="G207" s="250" t="s">
        <v>436</v>
      </c>
      <c r="H207" s="273"/>
      <c r="I207" s="323"/>
    </row>
    <row r="208" spans="1:9" ht="12.75">
      <c r="A208" s="251" t="s">
        <v>489</v>
      </c>
      <c r="B208" s="252"/>
      <c r="C208" s="253" t="s">
        <v>264</v>
      </c>
      <c r="D208" s="254" t="s">
        <v>106</v>
      </c>
      <c r="E208" s="255">
        <v>1</v>
      </c>
      <c r="F208" s="256"/>
      <c r="G208" s="250"/>
      <c r="H208" s="273"/>
      <c r="I208" s="327"/>
    </row>
    <row r="209" spans="1:9" ht="12.75">
      <c r="A209" s="257"/>
      <c r="B209" s="279"/>
      <c r="C209" s="281" t="s">
        <v>265</v>
      </c>
      <c r="D209" s="259" t="s">
        <v>106</v>
      </c>
      <c r="E209" s="280">
        <v>1</v>
      </c>
      <c r="F209" s="258">
        <f>16.91*(1+G6)</f>
        <v>24.09675</v>
      </c>
      <c r="G209" s="258">
        <f>TRUNC((E209*F209),2)</f>
        <v>24.09</v>
      </c>
      <c r="H209" s="273"/>
      <c r="I209" s="326"/>
    </row>
    <row r="210" spans="1:9" ht="12.75">
      <c r="A210" s="257"/>
      <c r="B210" s="337">
        <f>$B$21</f>
        <v>88264</v>
      </c>
      <c r="C210" s="260" t="s">
        <v>250</v>
      </c>
      <c r="D210" s="259" t="s">
        <v>36</v>
      </c>
      <c r="E210" s="280">
        <v>0.15</v>
      </c>
      <c r="F210" s="258">
        <f>$F$21</f>
        <v>19.52</v>
      </c>
      <c r="G210" s="258">
        <f>TRUNC((E210*F210),2)</f>
        <v>2.92</v>
      </c>
      <c r="H210" s="273"/>
      <c r="I210" s="322"/>
    </row>
    <row r="211" spans="1:9" ht="12.75">
      <c r="A211" s="257"/>
      <c r="B211" s="279">
        <f>$B$22</f>
        <v>88247</v>
      </c>
      <c r="C211" s="260" t="s">
        <v>284</v>
      </c>
      <c r="D211" s="344" t="s">
        <v>60</v>
      </c>
      <c r="E211" s="348">
        <v>0.15</v>
      </c>
      <c r="F211" s="258">
        <f>$F$22</f>
        <v>14.84</v>
      </c>
      <c r="G211" s="258">
        <f>TRUNC((E211*F211),2)</f>
        <v>2.22</v>
      </c>
      <c r="H211" s="273"/>
      <c r="I211" s="322"/>
    </row>
    <row r="212" spans="1:9" ht="12.75">
      <c r="A212" s="516" t="s">
        <v>437</v>
      </c>
      <c r="B212" s="517"/>
      <c r="C212" s="517"/>
      <c r="D212" s="517"/>
      <c r="E212" s="517"/>
      <c r="F212" s="518"/>
      <c r="G212" s="244">
        <f>SUM(G209:G211)</f>
        <v>29.229999999999997</v>
      </c>
      <c r="H212" s="273"/>
      <c r="I212" s="322"/>
    </row>
    <row r="213" spans="1:9" ht="12.75">
      <c r="A213" s="265"/>
      <c r="B213" s="265"/>
      <c r="C213" s="265"/>
      <c r="D213" s="265"/>
      <c r="E213" s="265"/>
      <c r="F213" s="265"/>
      <c r="G213" s="282"/>
      <c r="H213" s="273"/>
      <c r="I213" s="322"/>
    </row>
    <row r="214" spans="1:9" ht="12.75">
      <c r="A214" s="245" t="s">
        <v>37</v>
      </c>
      <c r="B214" s="257" t="s">
        <v>102</v>
      </c>
      <c r="C214" s="247" t="s">
        <v>55</v>
      </c>
      <c r="D214" s="245" t="s">
        <v>433</v>
      </c>
      <c r="E214" s="248" t="s">
        <v>434</v>
      </c>
      <c r="F214" s="249" t="s">
        <v>435</v>
      </c>
      <c r="G214" s="250" t="s">
        <v>436</v>
      </c>
      <c r="H214" s="273"/>
      <c r="I214" s="323"/>
    </row>
    <row r="215" spans="1:9" ht="25.5">
      <c r="A215" s="251" t="s">
        <v>490</v>
      </c>
      <c r="B215" s="252"/>
      <c r="C215" s="253" t="s">
        <v>268</v>
      </c>
      <c r="D215" s="254" t="s">
        <v>106</v>
      </c>
      <c r="E215" s="255">
        <v>1</v>
      </c>
      <c r="F215" s="256"/>
      <c r="G215" s="250"/>
      <c r="H215" s="273"/>
      <c r="I215" s="327"/>
    </row>
    <row r="216" spans="1:9" ht="24.75">
      <c r="A216" s="257"/>
      <c r="B216" s="279"/>
      <c r="C216" s="281" t="s">
        <v>455</v>
      </c>
      <c r="D216" s="259" t="s">
        <v>106</v>
      </c>
      <c r="E216" s="280">
        <v>1</v>
      </c>
      <c r="F216" s="258">
        <f>0.48*(1+G6)</f>
        <v>0.6839999999999999</v>
      </c>
      <c r="G216" s="258">
        <f>TRUNC((E216*F216),2)</f>
        <v>0.68</v>
      </c>
      <c r="H216" s="273"/>
      <c r="I216" s="326"/>
    </row>
    <row r="217" spans="1:9" ht="12.75">
      <c r="A217" s="257"/>
      <c r="B217" s="337">
        <f>$B$21</f>
        <v>88264</v>
      </c>
      <c r="C217" s="260" t="s">
        <v>250</v>
      </c>
      <c r="D217" s="259" t="s">
        <v>36</v>
      </c>
      <c r="E217" s="280">
        <v>0.09</v>
      </c>
      <c r="F217" s="258">
        <f>$F$21</f>
        <v>19.52</v>
      </c>
      <c r="G217" s="258">
        <f>TRUNC((E217*F217),2)</f>
        <v>1.75</v>
      </c>
      <c r="H217" s="273"/>
      <c r="I217" s="322"/>
    </row>
    <row r="218" spans="1:9" ht="12.75">
      <c r="A218" s="257"/>
      <c r="B218" s="279">
        <f>$B$22</f>
        <v>88247</v>
      </c>
      <c r="C218" s="260" t="s">
        <v>284</v>
      </c>
      <c r="D218" s="344" t="s">
        <v>60</v>
      </c>
      <c r="E218" s="348">
        <v>0.09</v>
      </c>
      <c r="F218" s="258">
        <f>$F$22</f>
        <v>14.84</v>
      </c>
      <c r="G218" s="258">
        <f>TRUNC((E218*F218),2)</f>
        <v>1.33</v>
      </c>
      <c r="H218" s="273"/>
      <c r="I218" s="322"/>
    </row>
    <row r="219" spans="1:9" ht="12.75">
      <c r="A219" s="516" t="s">
        <v>437</v>
      </c>
      <c r="B219" s="517"/>
      <c r="C219" s="517"/>
      <c r="D219" s="517"/>
      <c r="E219" s="517"/>
      <c r="F219" s="518"/>
      <c r="G219" s="244">
        <f>SUM(G216:G218)</f>
        <v>3.7600000000000002</v>
      </c>
      <c r="H219" s="273"/>
      <c r="I219" s="322"/>
    </row>
    <row r="220" spans="1:9" ht="12.75">
      <c r="A220" s="265"/>
      <c r="B220" s="265"/>
      <c r="C220" s="265"/>
      <c r="D220" s="265"/>
      <c r="E220" s="265"/>
      <c r="F220" s="265"/>
      <c r="G220" s="282"/>
      <c r="H220" s="273"/>
      <c r="I220" s="322"/>
    </row>
    <row r="221" spans="1:9" ht="12.75">
      <c r="A221" s="245" t="s">
        <v>37</v>
      </c>
      <c r="B221" s="257" t="s">
        <v>102</v>
      </c>
      <c r="C221" s="247" t="s">
        <v>55</v>
      </c>
      <c r="D221" s="245" t="s">
        <v>433</v>
      </c>
      <c r="E221" s="248" t="s">
        <v>434</v>
      </c>
      <c r="F221" s="249" t="s">
        <v>435</v>
      </c>
      <c r="G221" s="250" t="s">
        <v>436</v>
      </c>
      <c r="H221" s="273"/>
      <c r="I221" s="323"/>
    </row>
    <row r="222" spans="1:9" ht="25.5">
      <c r="A222" s="251" t="s">
        <v>491</v>
      </c>
      <c r="B222" s="252"/>
      <c r="C222" s="253" t="s">
        <v>356</v>
      </c>
      <c r="D222" s="254" t="s">
        <v>106</v>
      </c>
      <c r="E222" s="255">
        <v>1</v>
      </c>
      <c r="F222" s="256"/>
      <c r="G222" s="250"/>
      <c r="H222" s="273"/>
      <c r="I222" s="327"/>
    </row>
    <row r="223" spans="1:9" ht="12.75">
      <c r="A223" s="257"/>
      <c r="B223" s="279"/>
      <c r="C223" s="281" t="s">
        <v>456</v>
      </c>
      <c r="D223" s="259" t="s">
        <v>106</v>
      </c>
      <c r="E223" s="280">
        <v>1</v>
      </c>
      <c r="F223" s="258">
        <f>65.69*(1+G6)</f>
        <v>93.60825</v>
      </c>
      <c r="G223" s="258">
        <f>TRUNC((E223*F223),2)</f>
        <v>93.6</v>
      </c>
      <c r="H223" s="273"/>
      <c r="I223" s="326"/>
    </row>
    <row r="224" spans="1:9" ht="12.75">
      <c r="A224" s="257"/>
      <c r="B224" s="337">
        <f>$B$21</f>
        <v>88264</v>
      </c>
      <c r="C224" s="260" t="s">
        <v>250</v>
      </c>
      <c r="D224" s="259" t="s">
        <v>36</v>
      </c>
      <c r="E224" s="280">
        <v>0.09</v>
      </c>
      <c r="F224" s="258">
        <f>$F$21</f>
        <v>19.52</v>
      </c>
      <c r="G224" s="258">
        <f>TRUNC((E224*F224),2)</f>
        <v>1.75</v>
      </c>
      <c r="H224" s="273"/>
      <c r="I224" s="322"/>
    </row>
    <row r="225" spans="1:9" ht="12.75">
      <c r="A225" s="257"/>
      <c r="B225" s="279">
        <f>$B$22</f>
        <v>88247</v>
      </c>
      <c r="C225" s="260" t="s">
        <v>284</v>
      </c>
      <c r="D225" s="344" t="s">
        <v>60</v>
      </c>
      <c r="E225" s="348">
        <v>0.09</v>
      </c>
      <c r="F225" s="258">
        <f>$F$22</f>
        <v>14.84</v>
      </c>
      <c r="G225" s="258">
        <f>TRUNC((E225*F225),2)</f>
        <v>1.33</v>
      </c>
      <c r="H225" s="273"/>
      <c r="I225" s="322"/>
    </row>
    <row r="226" spans="1:9" ht="12.75">
      <c r="A226" s="516" t="s">
        <v>437</v>
      </c>
      <c r="B226" s="517"/>
      <c r="C226" s="517"/>
      <c r="D226" s="517"/>
      <c r="E226" s="517"/>
      <c r="F226" s="518"/>
      <c r="G226" s="244">
        <f>SUM(G223:G225)</f>
        <v>96.67999999999999</v>
      </c>
      <c r="H226" s="273"/>
      <c r="I226" s="322"/>
    </row>
    <row r="227" spans="1:9" ht="12.75">
      <c r="A227" s="265"/>
      <c r="B227" s="265"/>
      <c r="C227" s="265"/>
      <c r="D227" s="265"/>
      <c r="E227" s="265"/>
      <c r="F227" s="265"/>
      <c r="G227" s="282"/>
      <c r="H227" s="273"/>
      <c r="I227" s="322"/>
    </row>
    <row r="228" spans="1:9" ht="12.75">
      <c r="A228" s="245" t="s">
        <v>37</v>
      </c>
      <c r="B228" s="257" t="s">
        <v>102</v>
      </c>
      <c r="C228" s="247" t="s">
        <v>55</v>
      </c>
      <c r="D228" s="245" t="s">
        <v>433</v>
      </c>
      <c r="E228" s="248" t="s">
        <v>434</v>
      </c>
      <c r="F228" s="249" t="s">
        <v>435</v>
      </c>
      <c r="G228" s="250" t="s">
        <v>436</v>
      </c>
      <c r="H228" s="273"/>
      <c r="I228" s="323"/>
    </row>
    <row r="229" spans="1:9" ht="12.75">
      <c r="A229" s="251" t="s">
        <v>400</v>
      </c>
      <c r="B229" s="252"/>
      <c r="C229" s="253" t="s">
        <v>276</v>
      </c>
      <c r="D229" s="254" t="s">
        <v>106</v>
      </c>
      <c r="E229" s="255">
        <v>1</v>
      </c>
      <c r="F229" s="256"/>
      <c r="G229" s="250"/>
      <c r="H229" s="273"/>
      <c r="I229" s="327"/>
    </row>
    <row r="230" spans="1:9" ht="24.75">
      <c r="A230" s="257"/>
      <c r="B230" s="279">
        <v>2446</v>
      </c>
      <c r="C230" s="281" t="s">
        <v>519</v>
      </c>
      <c r="D230" s="259" t="s">
        <v>106</v>
      </c>
      <c r="E230" s="280">
        <v>1</v>
      </c>
      <c r="F230" s="258">
        <f>5.19*(1+G6)</f>
        <v>7.3957500000000005</v>
      </c>
      <c r="G230" s="258">
        <f>TRUNC((E230*F230),2)</f>
        <v>7.39</v>
      </c>
      <c r="H230" s="273"/>
      <c r="I230" s="326"/>
    </row>
    <row r="231" spans="1:9" ht="12.75">
      <c r="A231" s="257"/>
      <c r="B231" s="337">
        <f>$B$21</f>
        <v>88264</v>
      </c>
      <c r="C231" s="260" t="s">
        <v>250</v>
      </c>
      <c r="D231" s="259" t="s">
        <v>36</v>
      </c>
      <c r="E231" s="280">
        <v>0.3</v>
      </c>
      <c r="F231" s="258">
        <f>$F$21</f>
        <v>19.52</v>
      </c>
      <c r="G231" s="258">
        <f>TRUNC((E231*F231),2)</f>
        <v>5.85</v>
      </c>
      <c r="H231" s="273"/>
      <c r="I231" s="322"/>
    </row>
    <row r="232" spans="1:9" ht="12.75">
      <c r="A232" s="257"/>
      <c r="B232" s="279">
        <f>$B$22</f>
        <v>88247</v>
      </c>
      <c r="C232" s="260" t="s">
        <v>284</v>
      </c>
      <c r="D232" s="344" t="s">
        <v>60</v>
      </c>
      <c r="E232" s="348">
        <v>0.3</v>
      </c>
      <c r="F232" s="258">
        <f>$F$22</f>
        <v>14.84</v>
      </c>
      <c r="G232" s="258">
        <f>TRUNC((E232*F232),2)</f>
        <v>4.45</v>
      </c>
      <c r="H232" s="273"/>
      <c r="I232" s="322"/>
    </row>
    <row r="233" spans="1:9" ht="12.75">
      <c r="A233" s="516" t="s">
        <v>437</v>
      </c>
      <c r="B233" s="517"/>
      <c r="C233" s="517"/>
      <c r="D233" s="517"/>
      <c r="E233" s="517"/>
      <c r="F233" s="518"/>
      <c r="G233" s="244">
        <f>SUM(G230:G232)</f>
        <v>17.689999999999998</v>
      </c>
      <c r="H233" s="273"/>
      <c r="I233" s="322"/>
    </row>
    <row r="234" spans="1:9" ht="12.75">
      <c r="A234" s="265"/>
      <c r="B234" s="265"/>
      <c r="C234" s="265"/>
      <c r="D234" s="265"/>
      <c r="E234" s="265"/>
      <c r="F234" s="265"/>
      <c r="G234" s="282"/>
      <c r="H234" s="273"/>
      <c r="I234" s="322"/>
    </row>
    <row r="235" spans="1:9" ht="12.75">
      <c r="A235" s="245" t="s">
        <v>37</v>
      </c>
      <c r="B235" s="257" t="s">
        <v>102</v>
      </c>
      <c r="C235" s="247" t="s">
        <v>55</v>
      </c>
      <c r="D235" s="245" t="s">
        <v>433</v>
      </c>
      <c r="E235" s="248" t="s">
        <v>434</v>
      </c>
      <c r="F235" s="249" t="s">
        <v>435</v>
      </c>
      <c r="G235" s="250" t="s">
        <v>436</v>
      </c>
      <c r="H235" s="273"/>
      <c r="I235" s="323"/>
    </row>
    <row r="236" spans="1:9" ht="25.5">
      <c r="A236" s="251" t="s">
        <v>401</v>
      </c>
      <c r="B236" s="252"/>
      <c r="C236" s="253" t="s">
        <v>121</v>
      </c>
      <c r="D236" s="254" t="s">
        <v>106</v>
      </c>
      <c r="E236" s="255">
        <v>1</v>
      </c>
      <c r="F236" s="256"/>
      <c r="G236" s="250"/>
      <c r="H236" s="273"/>
      <c r="I236" s="327"/>
    </row>
    <row r="237" spans="1:9" ht="24.75">
      <c r="A237" s="257"/>
      <c r="B237" s="279">
        <v>3799</v>
      </c>
      <c r="C237" s="260" t="s">
        <v>520</v>
      </c>
      <c r="D237" s="259" t="s">
        <v>106</v>
      </c>
      <c r="E237" s="280">
        <v>1</v>
      </c>
      <c r="F237" s="258">
        <f>66.51*(1+G6)</f>
        <v>94.77675</v>
      </c>
      <c r="G237" s="258">
        <f>TRUNC((E237*F237),2)</f>
        <v>94.77</v>
      </c>
      <c r="H237" s="273"/>
      <c r="I237" s="326"/>
    </row>
    <row r="238" spans="1:9" ht="12.75">
      <c r="A238" s="257"/>
      <c r="B238" s="337">
        <f>$B$21</f>
        <v>88264</v>
      </c>
      <c r="C238" s="260" t="s">
        <v>250</v>
      </c>
      <c r="D238" s="259" t="s">
        <v>36</v>
      </c>
      <c r="E238" s="280">
        <v>0.6</v>
      </c>
      <c r="F238" s="258">
        <f>$F$21</f>
        <v>19.52</v>
      </c>
      <c r="G238" s="258">
        <f>TRUNC((E238*F238),2)</f>
        <v>11.71</v>
      </c>
      <c r="H238" s="273"/>
      <c r="I238" s="322"/>
    </row>
    <row r="239" spans="1:9" ht="12.75">
      <c r="A239" s="257"/>
      <c r="B239" s="279">
        <f>$B$22</f>
        <v>88247</v>
      </c>
      <c r="C239" s="260" t="s">
        <v>284</v>
      </c>
      <c r="D239" s="344" t="s">
        <v>60</v>
      </c>
      <c r="E239" s="348">
        <v>0.6</v>
      </c>
      <c r="F239" s="258">
        <f>$F$22</f>
        <v>14.84</v>
      </c>
      <c r="G239" s="258">
        <f>TRUNC((E239*F239),2)</f>
        <v>8.9</v>
      </c>
      <c r="H239" s="273"/>
      <c r="I239" s="322"/>
    </row>
    <row r="240" spans="1:9" ht="12.75">
      <c r="A240" s="516" t="s">
        <v>437</v>
      </c>
      <c r="B240" s="517"/>
      <c r="C240" s="517"/>
      <c r="D240" s="517"/>
      <c r="E240" s="517"/>
      <c r="F240" s="518"/>
      <c r="G240" s="244">
        <f>SUM(G237:G239)</f>
        <v>115.38</v>
      </c>
      <c r="H240" s="273"/>
      <c r="I240" s="322"/>
    </row>
    <row r="241" spans="1:9" ht="12.75">
      <c r="A241" s="265"/>
      <c r="B241" s="265"/>
      <c r="C241" s="265"/>
      <c r="D241" s="265"/>
      <c r="E241" s="265"/>
      <c r="F241" s="265"/>
      <c r="G241" s="282"/>
      <c r="H241" s="273"/>
      <c r="I241" s="322"/>
    </row>
    <row r="242" spans="1:9" ht="12.75">
      <c r="A242" s="245" t="s">
        <v>37</v>
      </c>
      <c r="B242" s="257" t="s">
        <v>102</v>
      </c>
      <c r="C242" s="247" t="s">
        <v>55</v>
      </c>
      <c r="D242" s="245" t="s">
        <v>433</v>
      </c>
      <c r="E242" s="248" t="s">
        <v>434</v>
      </c>
      <c r="F242" s="249" t="s">
        <v>435</v>
      </c>
      <c r="G242" s="250" t="s">
        <v>436</v>
      </c>
      <c r="H242" s="273"/>
      <c r="I242" s="323"/>
    </row>
    <row r="243" spans="1:9" ht="25.5">
      <c r="A243" s="251" t="s">
        <v>402</v>
      </c>
      <c r="B243" s="252"/>
      <c r="C243" s="253" t="s">
        <v>332</v>
      </c>
      <c r="D243" s="254" t="s">
        <v>106</v>
      </c>
      <c r="E243" s="255">
        <v>1</v>
      </c>
      <c r="F243" s="256"/>
      <c r="G243" s="250"/>
      <c r="H243" s="273"/>
      <c r="I243" s="327"/>
    </row>
    <row r="244" spans="1:9" ht="17.25" customHeight="1">
      <c r="A244" s="257"/>
      <c r="B244" s="279">
        <v>2510</v>
      </c>
      <c r="C244" s="260" t="s">
        <v>521</v>
      </c>
      <c r="D244" s="259" t="s">
        <v>42</v>
      </c>
      <c r="E244" s="280">
        <v>1</v>
      </c>
      <c r="F244" s="258">
        <f>17.25*(1+G6)</f>
        <v>24.58125</v>
      </c>
      <c r="G244" s="258">
        <f>TRUNC((E244*F244),2)</f>
        <v>24.58</v>
      </c>
      <c r="H244" s="273"/>
      <c r="I244" s="326"/>
    </row>
    <row r="245" spans="1:9" ht="12.75">
      <c r="A245" s="257"/>
      <c r="B245" s="337">
        <f>$B$21</f>
        <v>88264</v>
      </c>
      <c r="C245" s="260" t="s">
        <v>250</v>
      </c>
      <c r="D245" s="259" t="s">
        <v>36</v>
      </c>
      <c r="E245" s="280">
        <v>0.3</v>
      </c>
      <c r="F245" s="258">
        <f>$F$21</f>
        <v>19.52</v>
      </c>
      <c r="G245" s="258">
        <f>TRUNC((E245*F245),2)</f>
        <v>5.85</v>
      </c>
      <c r="H245" s="273"/>
      <c r="I245" s="322"/>
    </row>
    <row r="246" spans="1:9" ht="12.75">
      <c r="A246" s="257"/>
      <c r="B246" s="279">
        <f>$B$22</f>
        <v>88247</v>
      </c>
      <c r="C246" s="260" t="s">
        <v>284</v>
      </c>
      <c r="D246" s="344" t="s">
        <v>60</v>
      </c>
      <c r="E246" s="348">
        <v>0.3</v>
      </c>
      <c r="F246" s="258">
        <f>$F$22</f>
        <v>14.84</v>
      </c>
      <c r="G246" s="258">
        <f>TRUNC((E246*F246),2)</f>
        <v>4.45</v>
      </c>
      <c r="H246" s="273"/>
      <c r="I246" s="322"/>
    </row>
    <row r="247" spans="1:9" ht="12.75">
      <c r="A247" s="516" t="s">
        <v>437</v>
      </c>
      <c r="B247" s="517"/>
      <c r="C247" s="517"/>
      <c r="D247" s="517"/>
      <c r="E247" s="517"/>
      <c r="F247" s="518"/>
      <c r="G247" s="244">
        <f>SUM(G244:G246)</f>
        <v>34.88</v>
      </c>
      <c r="H247" s="273"/>
      <c r="I247" s="322"/>
    </row>
    <row r="248" spans="1:9" ht="12.75">
      <c r="A248" s="265"/>
      <c r="B248" s="265"/>
      <c r="C248" s="265"/>
      <c r="D248" s="265"/>
      <c r="E248" s="265"/>
      <c r="F248" s="265"/>
      <c r="G248" s="282"/>
      <c r="H248" s="273"/>
      <c r="I248" s="322"/>
    </row>
    <row r="249" spans="1:9" ht="12.75">
      <c r="A249" s="245" t="s">
        <v>37</v>
      </c>
      <c r="B249" s="257" t="s">
        <v>102</v>
      </c>
      <c r="C249" s="247" t="s">
        <v>55</v>
      </c>
      <c r="D249" s="245" t="s">
        <v>433</v>
      </c>
      <c r="E249" s="248" t="s">
        <v>434</v>
      </c>
      <c r="F249" s="249" t="s">
        <v>435</v>
      </c>
      <c r="G249" s="250" t="s">
        <v>436</v>
      </c>
      <c r="H249" s="273"/>
      <c r="I249" s="323"/>
    </row>
    <row r="250" spans="1:9" ht="25.5">
      <c r="A250" s="251" t="s">
        <v>403</v>
      </c>
      <c r="B250" s="252"/>
      <c r="C250" s="253" t="s">
        <v>282</v>
      </c>
      <c r="D250" s="254" t="s">
        <v>106</v>
      </c>
      <c r="E250" s="255">
        <v>1</v>
      </c>
      <c r="F250" s="256"/>
      <c r="G250" s="250"/>
      <c r="H250" s="273"/>
      <c r="I250" s="327"/>
    </row>
    <row r="251" spans="1:9" ht="24.75">
      <c r="A251" s="257"/>
      <c r="B251" s="279"/>
      <c r="C251" s="260" t="s">
        <v>283</v>
      </c>
      <c r="D251" s="259" t="s">
        <v>42</v>
      </c>
      <c r="E251" s="280">
        <v>1</v>
      </c>
      <c r="F251" s="258">
        <f>68.45*(1+G6)</f>
        <v>97.54125</v>
      </c>
      <c r="G251" s="258">
        <f>TRUNC((E251*F251),2)</f>
        <v>97.54</v>
      </c>
      <c r="H251" s="273"/>
      <c r="I251" s="326"/>
    </row>
    <row r="252" spans="1:9" ht="12.75">
      <c r="A252" s="257"/>
      <c r="B252" s="337">
        <f>$B$21</f>
        <v>88264</v>
      </c>
      <c r="C252" s="260" t="s">
        <v>250</v>
      </c>
      <c r="D252" s="259" t="s">
        <v>36</v>
      </c>
      <c r="E252" s="280">
        <v>1</v>
      </c>
      <c r="F252" s="258">
        <f>$F$21</f>
        <v>19.52</v>
      </c>
      <c r="G252" s="258">
        <f>TRUNC((E252*F252),2)</f>
        <v>19.52</v>
      </c>
      <c r="H252" s="273"/>
      <c r="I252" s="322"/>
    </row>
    <row r="253" spans="1:9" ht="12.75">
      <c r="A253" s="257"/>
      <c r="B253" s="279">
        <f>$B$22</f>
        <v>88247</v>
      </c>
      <c r="C253" s="260" t="s">
        <v>284</v>
      </c>
      <c r="D253" s="344" t="s">
        <v>60</v>
      </c>
      <c r="E253" s="348">
        <v>1</v>
      </c>
      <c r="F253" s="258">
        <f>$F$22</f>
        <v>14.84</v>
      </c>
      <c r="G253" s="258">
        <f>TRUNC((E253*F253),2)</f>
        <v>14.84</v>
      </c>
      <c r="H253" s="273"/>
      <c r="I253" s="322"/>
    </row>
    <row r="254" spans="1:9" ht="12.75">
      <c r="A254" s="516" t="s">
        <v>437</v>
      </c>
      <c r="B254" s="517"/>
      <c r="C254" s="517"/>
      <c r="D254" s="517"/>
      <c r="E254" s="517"/>
      <c r="F254" s="518"/>
      <c r="G254" s="244">
        <f>SUM(G251:G253)</f>
        <v>131.9</v>
      </c>
      <c r="H254" s="273"/>
      <c r="I254" s="322"/>
    </row>
    <row r="255" spans="1:9" ht="12.75">
      <c r="A255" s="265"/>
      <c r="B255" s="265"/>
      <c r="C255" s="265"/>
      <c r="D255" s="265"/>
      <c r="E255" s="265"/>
      <c r="F255" s="265"/>
      <c r="G255" s="282"/>
      <c r="H255" s="273"/>
      <c r="I255" s="322"/>
    </row>
    <row r="256" spans="1:9" ht="12.75">
      <c r="A256" s="245" t="s">
        <v>37</v>
      </c>
      <c r="B256" s="257" t="s">
        <v>102</v>
      </c>
      <c r="C256" s="247" t="s">
        <v>55</v>
      </c>
      <c r="D256" s="245" t="s">
        <v>433</v>
      </c>
      <c r="E256" s="248" t="s">
        <v>434</v>
      </c>
      <c r="F256" s="249" t="s">
        <v>435</v>
      </c>
      <c r="G256" s="250" t="s">
        <v>436</v>
      </c>
      <c r="H256" s="273"/>
      <c r="I256" s="323"/>
    </row>
    <row r="257" spans="1:9" ht="25.5">
      <c r="A257" s="251" t="s">
        <v>404</v>
      </c>
      <c r="B257" s="252"/>
      <c r="C257" s="253" t="s">
        <v>372</v>
      </c>
      <c r="D257" s="254" t="s">
        <v>106</v>
      </c>
      <c r="E257" s="255">
        <v>1</v>
      </c>
      <c r="F257" s="256"/>
      <c r="G257" s="250"/>
      <c r="H257" s="273"/>
      <c r="I257" s="327"/>
    </row>
    <row r="258" spans="1:9" ht="24.75">
      <c r="A258" s="333"/>
      <c r="B258" s="338" t="s">
        <v>522</v>
      </c>
      <c r="C258" s="281" t="s">
        <v>286</v>
      </c>
      <c r="D258" s="345" t="s">
        <v>27</v>
      </c>
      <c r="E258" s="349">
        <v>0.5</v>
      </c>
      <c r="F258" s="258">
        <v>148.7</v>
      </c>
      <c r="G258" s="258">
        <f aca="true" t="shared" si="0" ref="G258:G291">TRUNC((E258*F258),2)</f>
        <v>74.35</v>
      </c>
      <c r="H258" s="273"/>
      <c r="I258" s="327"/>
    </row>
    <row r="259" spans="1:9" ht="12.75">
      <c r="A259" s="333"/>
      <c r="B259" s="338">
        <v>342</v>
      </c>
      <c r="C259" s="281" t="s">
        <v>287</v>
      </c>
      <c r="D259" s="345" t="s">
        <v>28</v>
      </c>
      <c r="E259" s="349">
        <v>0.4</v>
      </c>
      <c r="F259" s="258">
        <v>11.72</v>
      </c>
      <c r="G259" s="258">
        <f t="shared" si="0"/>
        <v>4.68</v>
      </c>
      <c r="H259" s="273"/>
      <c r="I259" s="327"/>
    </row>
    <row r="260" spans="1:9" ht="24.75">
      <c r="A260" s="333"/>
      <c r="B260" s="338">
        <v>995</v>
      </c>
      <c r="C260" s="281" t="s">
        <v>365</v>
      </c>
      <c r="D260" s="345" t="s">
        <v>42</v>
      </c>
      <c r="E260" s="349">
        <v>5</v>
      </c>
      <c r="F260" s="258">
        <v>11.39</v>
      </c>
      <c r="G260" s="258">
        <f t="shared" si="0"/>
        <v>56.95</v>
      </c>
      <c r="H260" s="273"/>
      <c r="I260" s="327"/>
    </row>
    <row r="261" spans="1:9" ht="24.75">
      <c r="A261" s="333"/>
      <c r="B261" s="338">
        <v>998</v>
      </c>
      <c r="C261" s="281" t="s">
        <v>366</v>
      </c>
      <c r="D261" s="345" t="s">
        <v>42</v>
      </c>
      <c r="E261" s="349">
        <v>76</v>
      </c>
      <c r="F261" s="258">
        <v>62.71</v>
      </c>
      <c r="G261" s="258">
        <f t="shared" si="0"/>
        <v>4765.96</v>
      </c>
      <c r="H261" s="273"/>
      <c r="I261" s="327"/>
    </row>
    <row r="262" spans="1:9" ht="24.75">
      <c r="A262" s="333"/>
      <c r="B262" s="338">
        <v>1018</v>
      </c>
      <c r="C262" s="281" t="s">
        <v>288</v>
      </c>
      <c r="D262" s="345" t="s">
        <v>42</v>
      </c>
      <c r="E262" s="349">
        <v>10</v>
      </c>
      <c r="F262" s="258">
        <v>34.08</v>
      </c>
      <c r="G262" s="258">
        <f t="shared" si="0"/>
        <v>340.8</v>
      </c>
      <c r="H262" s="273"/>
      <c r="I262" s="327"/>
    </row>
    <row r="263" spans="1:9" ht="12.75">
      <c r="A263" s="333"/>
      <c r="B263" s="338">
        <v>2378</v>
      </c>
      <c r="C263" s="281" t="s">
        <v>367</v>
      </c>
      <c r="D263" s="345" t="s">
        <v>38</v>
      </c>
      <c r="E263" s="349">
        <v>1</v>
      </c>
      <c r="F263" s="258">
        <v>1010.67</v>
      </c>
      <c r="G263" s="258">
        <f t="shared" si="0"/>
        <v>1010.67</v>
      </c>
      <c r="H263" s="273"/>
      <c r="I263" s="327"/>
    </row>
    <row r="264" spans="1:9" ht="24.75">
      <c r="A264" s="333"/>
      <c r="B264" s="338">
        <v>3380</v>
      </c>
      <c r="C264" s="281" t="s">
        <v>523</v>
      </c>
      <c r="D264" s="345" t="s">
        <v>38</v>
      </c>
      <c r="E264" s="349">
        <v>10</v>
      </c>
      <c r="F264" s="258">
        <v>40</v>
      </c>
      <c r="G264" s="258">
        <f t="shared" si="0"/>
        <v>400</v>
      </c>
      <c r="H264" s="273"/>
      <c r="I264" s="327"/>
    </row>
    <row r="265" spans="1:9" ht="12.75">
      <c r="A265" s="333"/>
      <c r="B265" s="338"/>
      <c r="C265" s="281" t="s">
        <v>289</v>
      </c>
      <c r="D265" s="345" t="s">
        <v>38</v>
      </c>
      <c r="E265" s="349">
        <v>3</v>
      </c>
      <c r="F265" s="258">
        <f>TRUNC($H$1*I265,2)</f>
        <v>0</v>
      </c>
      <c r="G265" s="258">
        <f t="shared" si="0"/>
        <v>0</v>
      </c>
      <c r="H265" s="273"/>
      <c r="I265" s="327"/>
    </row>
    <row r="266" spans="1:9" ht="12.75">
      <c r="A266" s="333"/>
      <c r="B266" s="338"/>
      <c r="C266" s="281" t="s">
        <v>290</v>
      </c>
      <c r="D266" s="345" t="s">
        <v>38</v>
      </c>
      <c r="E266" s="349">
        <v>3</v>
      </c>
      <c r="F266" s="258">
        <v>79.19</v>
      </c>
      <c r="G266" s="258">
        <f t="shared" si="0"/>
        <v>237.57</v>
      </c>
      <c r="H266" s="273"/>
      <c r="I266" s="327"/>
    </row>
    <row r="267" spans="1:9" ht="12.75">
      <c r="A267" s="333"/>
      <c r="B267" s="338"/>
      <c r="C267" s="281" t="s">
        <v>291</v>
      </c>
      <c r="D267" s="345" t="s">
        <v>38</v>
      </c>
      <c r="E267" s="349">
        <v>6</v>
      </c>
      <c r="F267" s="258">
        <v>14.01</v>
      </c>
      <c r="G267" s="258">
        <f t="shared" si="0"/>
        <v>84.06</v>
      </c>
      <c r="H267" s="273"/>
      <c r="I267" s="327"/>
    </row>
    <row r="268" spans="1:9" ht="12.75">
      <c r="A268" s="333"/>
      <c r="B268" s="338"/>
      <c r="C268" s="281" t="s">
        <v>292</v>
      </c>
      <c r="D268" s="345" t="s">
        <v>38</v>
      </c>
      <c r="E268" s="349">
        <v>4</v>
      </c>
      <c r="F268" s="258">
        <v>6.65</v>
      </c>
      <c r="G268" s="258">
        <f t="shared" si="0"/>
        <v>26.6</v>
      </c>
      <c r="H268" s="273"/>
      <c r="I268" s="327"/>
    </row>
    <row r="269" spans="1:9" ht="12.75">
      <c r="A269" s="333"/>
      <c r="B269" s="338"/>
      <c r="C269" s="281" t="s">
        <v>293</v>
      </c>
      <c r="D269" s="345" t="s">
        <v>38</v>
      </c>
      <c r="E269" s="349">
        <v>1</v>
      </c>
      <c r="F269" s="258">
        <v>22.58</v>
      </c>
      <c r="G269" s="258">
        <f t="shared" si="0"/>
        <v>22.58</v>
      </c>
      <c r="H269" s="273"/>
      <c r="I269" s="327"/>
    </row>
    <row r="270" spans="1:9" ht="12.75">
      <c r="A270" s="333"/>
      <c r="B270" s="338"/>
      <c r="C270" s="281" t="s">
        <v>294</v>
      </c>
      <c r="D270" s="345" t="s">
        <v>38</v>
      </c>
      <c r="E270" s="349">
        <v>1</v>
      </c>
      <c r="F270" s="258">
        <f>TRUNC($H$1*I270,2)</f>
        <v>0</v>
      </c>
      <c r="G270" s="258">
        <f t="shared" si="0"/>
        <v>0</v>
      </c>
      <c r="H270" s="273"/>
      <c r="I270" s="327"/>
    </row>
    <row r="271" spans="1:9" ht="12.75">
      <c r="A271" s="333"/>
      <c r="B271" s="338"/>
      <c r="C271" s="281" t="s">
        <v>295</v>
      </c>
      <c r="D271" s="345" t="s">
        <v>38</v>
      </c>
      <c r="E271" s="349">
        <v>3</v>
      </c>
      <c r="F271" s="258">
        <v>16.47</v>
      </c>
      <c r="G271" s="258">
        <f t="shared" si="0"/>
        <v>49.41</v>
      </c>
      <c r="H271" s="273"/>
      <c r="I271" s="327"/>
    </row>
    <row r="272" spans="1:9" ht="12.75">
      <c r="A272" s="333"/>
      <c r="B272" s="338"/>
      <c r="C272" s="281" t="s">
        <v>296</v>
      </c>
      <c r="D272" s="345" t="s">
        <v>38</v>
      </c>
      <c r="E272" s="349">
        <v>3</v>
      </c>
      <c r="F272" s="258">
        <v>12.99</v>
      </c>
      <c r="G272" s="258">
        <f t="shared" si="0"/>
        <v>38.97</v>
      </c>
      <c r="H272" s="273"/>
      <c r="I272" s="327"/>
    </row>
    <row r="273" spans="1:9" ht="12.75">
      <c r="A273" s="333"/>
      <c r="B273" s="338"/>
      <c r="C273" s="281" t="s">
        <v>297</v>
      </c>
      <c r="D273" s="345" t="s">
        <v>38</v>
      </c>
      <c r="E273" s="349">
        <v>3</v>
      </c>
      <c r="F273" s="258">
        <v>29.44</v>
      </c>
      <c r="G273" s="258">
        <f t="shared" si="0"/>
        <v>88.32</v>
      </c>
      <c r="H273" s="273"/>
      <c r="I273" s="327"/>
    </row>
    <row r="274" spans="1:9" ht="12.75">
      <c r="A274" s="333"/>
      <c r="B274" s="338"/>
      <c r="C274" s="281" t="s">
        <v>298</v>
      </c>
      <c r="D274" s="345" t="s">
        <v>38</v>
      </c>
      <c r="E274" s="349">
        <v>3</v>
      </c>
      <c r="F274" s="258">
        <v>17.17</v>
      </c>
      <c r="G274" s="258">
        <f t="shared" si="0"/>
        <v>51.51</v>
      </c>
      <c r="H274" s="273"/>
      <c r="I274" s="327"/>
    </row>
    <row r="275" spans="1:9" ht="12.75">
      <c r="A275" s="333"/>
      <c r="B275" s="338"/>
      <c r="C275" s="281" t="s">
        <v>299</v>
      </c>
      <c r="D275" s="345" t="s">
        <v>38</v>
      </c>
      <c r="E275" s="349">
        <v>3</v>
      </c>
      <c r="F275" s="258">
        <v>19.06</v>
      </c>
      <c r="G275" s="258">
        <f t="shared" si="0"/>
        <v>57.18</v>
      </c>
      <c r="H275" s="273"/>
      <c r="I275" s="327"/>
    </row>
    <row r="276" spans="1:9" ht="12.75">
      <c r="A276" s="333"/>
      <c r="B276" s="338"/>
      <c r="C276" s="281" t="s">
        <v>300</v>
      </c>
      <c r="D276" s="345" t="s">
        <v>301</v>
      </c>
      <c r="E276" s="349">
        <v>3</v>
      </c>
      <c r="F276" s="258">
        <v>20.98</v>
      </c>
      <c r="G276" s="258">
        <f t="shared" si="0"/>
        <v>62.94</v>
      </c>
      <c r="H276" s="273"/>
      <c r="I276" s="327"/>
    </row>
    <row r="277" spans="1:9" ht="12.75">
      <c r="A277" s="333"/>
      <c r="B277" s="338"/>
      <c r="C277" s="281" t="s">
        <v>302</v>
      </c>
      <c r="D277" s="345" t="s">
        <v>38</v>
      </c>
      <c r="E277" s="349">
        <v>3</v>
      </c>
      <c r="F277" s="258">
        <v>29.61</v>
      </c>
      <c r="G277" s="258">
        <f t="shared" si="0"/>
        <v>88.83</v>
      </c>
      <c r="H277" s="273"/>
      <c r="I277" s="327"/>
    </row>
    <row r="278" spans="1:9" ht="37.5">
      <c r="A278" s="333"/>
      <c r="B278" s="338">
        <v>7619</v>
      </c>
      <c r="C278" s="281" t="s">
        <v>564</v>
      </c>
      <c r="D278" s="345" t="s">
        <v>38</v>
      </c>
      <c r="E278" s="349">
        <v>1</v>
      </c>
      <c r="F278" s="258">
        <v>9560.66</v>
      </c>
      <c r="G278" s="258">
        <f t="shared" si="0"/>
        <v>9560.66</v>
      </c>
      <c r="H278" s="273"/>
      <c r="I278" s="327"/>
    </row>
    <row r="279" spans="1:9" ht="12.75">
      <c r="A279" s="333"/>
      <c r="B279" s="338"/>
      <c r="C279" s="281" t="s">
        <v>303</v>
      </c>
      <c r="D279" s="345" t="s">
        <v>304</v>
      </c>
      <c r="E279" s="349">
        <v>0.5</v>
      </c>
      <c r="F279" s="258">
        <v>23.64</v>
      </c>
      <c r="G279" s="258">
        <f t="shared" si="0"/>
        <v>11.82</v>
      </c>
      <c r="H279" s="273"/>
      <c r="I279" s="327"/>
    </row>
    <row r="280" spans="1:9" ht="12.75">
      <c r="A280" s="333"/>
      <c r="B280" s="338"/>
      <c r="C280" s="281" t="s">
        <v>305</v>
      </c>
      <c r="D280" s="345" t="s">
        <v>38</v>
      </c>
      <c r="E280" s="349">
        <v>1</v>
      </c>
      <c r="F280" s="258">
        <v>518.01</v>
      </c>
      <c r="G280" s="258">
        <f t="shared" si="0"/>
        <v>518.01</v>
      </c>
      <c r="H280" s="273"/>
      <c r="I280" s="327"/>
    </row>
    <row r="281" spans="1:9" ht="12.75">
      <c r="A281" s="333"/>
      <c r="B281" s="338"/>
      <c r="C281" s="281" t="s">
        <v>306</v>
      </c>
      <c r="D281" s="345" t="s">
        <v>38</v>
      </c>
      <c r="E281" s="349">
        <v>3</v>
      </c>
      <c r="F281" s="258">
        <v>38.13</v>
      </c>
      <c r="G281" s="258">
        <f t="shared" si="0"/>
        <v>114.39</v>
      </c>
      <c r="H281" s="273"/>
      <c r="I281" s="327"/>
    </row>
    <row r="282" spans="1:9" ht="12.75">
      <c r="A282" s="333"/>
      <c r="B282" s="338"/>
      <c r="C282" s="281" t="s">
        <v>307</v>
      </c>
      <c r="D282" s="345" t="s">
        <v>38</v>
      </c>
      <c r="E282" s="349">
        <v>1</v>
      </c>
      <c r="F282" s="258">
        <v>17.17</v>
      </c>
      <c r="G282" s="258">
        <f t="shared" si="0"/>
        <v>17.17</v>
      </c>
      <c r="H282" s="273"/>
      <c r="I282" s="327"/>
    </row>
    <row r="283" spans="1:9" ht="24.75">
      <c r="A283" s="333"/>
      <c r="B283" s="338"/>
      <c r="C283" s="281" t="s">
        <v>369</v>
      </c>
      <c r="D283" s="345" t="s">
        <v>42</v>
      </c>
      <c r="E283" s="349">
        <v>12</v>
      </c>
      <c r="F283" s="258">
        <v>253.04</v>
      </c>
      <c r="G283" s="258">
        <f t="shared" si="0"/>
        <v>3036.48</v>
      </c>
      <c r="H283" s="273"/>
      <c r="I283" s="327"/>
    </row>
    <row r="284" spans="1:9" ht="12.75">
      <c r="A284" s="333"/>
      <c r="B284" s="338"/>
      <c r="C284" s="281" t="s">
        <v>371</v>
      </c>
      <c r="D284" s="345" t="s">
        <v>38</v>
      </c>
      <c r="E284" s="349">
        <v>2</v>
      </c>
      <c r="F284" s="258">
        <v>106.53</v>
      </c>
      <c r="G284" s="258">
        <f t="shared" si="0"/>
        <v>213.06</v>
      </c>
      <c r="H284" s="273"/>
      <c r="I284" s="327"/>
    </row>
    <row r="285" spans="1:9" ht="12.75">
      <c r="A285" s="333"/>
      <c r="B285" s="338"/>
      <c r="C285" s="281" t="s">
        <v>308</v>
      </c>
      <c r="D285" s="345" t="s">
        <v>38</v>
      </c>
      <c r="E285" s="349">
        <v>5</v>
      </c>
      <c r="F285" s="258">
        <v>9.75</v>
      </c>
      <c r="G285" s="258">
        <f t="shared" si="0"/>
        <v>48.75</v>
      </c>
      <c r="H285" s="273"/>
      <c r="I285" s="327"/>
    </row>
    <row r="286" spans="1:9" ht="12.75">
      <c r="A286" s="333"/>
      <c r="B286" s="338"/>
      <c r="C286" s="281" t="s">
        <v>309</v>
      </c>
      <c r="D286" s="345" t="s">
        <v>38</v>
      </c>
      <c r="E286" s="349">
        <v>3</v>
      </c>
      <c r="F286" s="258">
        <v>193.99</v>
      </c>
      <c r="G286" s="258">
        <f t="shared" si="0"/>
        <v>581.97</v>
      </c>
      <c r="H286" s="273"/>
      <c r="I286" s="327"/>
    </row>
    <row r="287" spans="1:9" ht="12.75">
      <c r="A287" s="333"/>
      <c r="B287" s="338"/>
      <c r="C287" s="281" t="s">
        <v>100</v>
      </c>
      <c r="D287" s="345" t="s">
        <v>36</v>
      </c>
      <c r="E287" s="349">
        <v>8</v>
      </c>
      <c r="F287" s="258">
        <v>148</v>
      </c>
      <c r="G287" s="258">
        <f t="shared" si="0"/>
        <v>1184</v>
      </c>
      <c r="H287" s="273"/>
      <c r="I287" s="327"/>
    </row>
    <row r="288" spans="1:9" ht="12.75">
      <c r="A288" s="333"/>
      <c r="B288" s="338"/>
      <c r="C288" s="281" t="s">
        <v>565</v>
      </c>
      <c r="D288" s="345" t="s">
        <v>567</v>
      </c>
      <c r="E288" s="349">
        <v>1</v>
      </c>
      <c r="F288" s="258">
        <v>2156.25</v>
      </c>
      <c r="G288" s="258">
        <f t="shared" si="0"/>
        <v>2156.25</v>
      </c>
      <c r="H288" s="273"/>
      <c r="I288" s="327"/>
    </row>
    <row r="289" spans="1:9" ht="12.75">
      <c r="A289" s="333"/>
      <c r="B289" s="338"/>
      <c r="C289" s="281" t="s">
        <v>566</v>
      </c>
      <c r="D289" s="345" t="s">
        <v>567</v>
      </c>
      <c r="E289" s="349">
        <v>3</v>
      </c>
      <c r="F289" s="258">
        <v>412.47</v>
      </c>
      <c r="G289" s="258">
        <f t="shared" si="0"/>
        <v>1237.41</v>
      </c>
      <c r="H289" s="273"/>
      <c r="I289" s="327"/>
    </row>
    <row r="290" spans="1:9" ht="12.75">
      <c r="A290" s="333"/>
      <c r="B290" s="337">
        <f>$B$21</f>
        <v>88264</v>
      </c>
      <c r="C290" s="281" t="s">
        <v>284</v>
      </c>
      <c r="D290" s="345" t="s">
        <v>36</v>
      </c>
      <c r="E290" s="349">
        <v>8</v>
      </c>
      <c r="F290" s="258">
        <f>$F$21</f>
        <v>19.52</v>
      </c>
      <c r="G290" s="258">
        <f t="shared" si="0"/>
        <v>156.16</v>
      </c>
      <c r="H290" s="273"/>
      <c r="I290" s="327"/>
    </row>
    <row r="291" spans="1:9" ht="12.75">
      <c r="A291" s="333"/>
      <c r="B291" s="279">
        <f>$B$22</f>
        <v>88247</v>
      </c>
      <c r="C291" s="281" t="s">
        <v>70</v>
      </c>
      <c r="D291" s="345" t="s">
        <v>36</v>
      </c>
      <c r="E291" s="349">
        <v>8</v>
      </c>
      <c r="F291" s="258">
        <f>$F$22</f>
        <v>14.84</v>
      </c>
      <c r="G291" s="258">
        <f t="shared" si="0"/>
        <v>118.72</v>
      </c>
      <c r="H291" s="273"/>
      <c r="I291" s="327"/>
    </row>
    <row r="292" spans="1:9" ht="12.75">
      <c r="A292" s="516" t="s">
        <v>437</v>
      </c>
      <c r="B292" s="517"/>
      <c r="C292" s="517"/>
      <c r="D292" s="517"/>
      <c r="E292" s="517"/>
      <c r="F292" s="518"/>
      <c r="G292" s="244">
        <f>SUM(G258:G291)</f>
        <v>26416.23</v>
      </c>
      <c r="H292" s="273"/>
      <c r="I292" s="322"/>
    </row>
    <row r="293" spans="1:9" ht="12.75">
      <c r="A293" s="265"/>
      <c r="B293" s="265"/>
      <c r="C293" s="265"/>
      <c r="D293" s="265"/>
      <c r="E293" s="265"/>
      <c r="F293" s="265"/>
      <c r="G293" s="282"/>
      <c r="H293" s="273"/>
      <c r="I293" s="322"/>
    </row>
    <row r="294" spans="1:9" ht="12.75">
      <c r="A294" s="245" t="s">
        <v>37</v>
      </c>
      <c r="B294" s="257" t="s">
        <v>102</v>
      </c>
      <c r="C294" s="247" t="s">
        <v>55</v>
      </c>
      <c r="D294" s="245" t="s">
        <v>433</v>
      </c>
      <c r="E294" s="248" t="s">
        <v>434</v>
      </c>
      <c r="F294" s="249" t="s">
        <v>435</v>
      </c>
      <c r="G294" s="250" t="s">
        <v>436</v>
      </c>
      <c r="H294" s="273"/>
      <c r="I294" s="323"/>
    </row>
    <row r="295" spans="1:9" ht="12.75">
      <c r="A295" s="251" t="s">
        <v>405</v>
      </c>
      <c r="B295" s="252"/>
      <c r="C295" s="253" t="s">
        <v>164</v>
      </c>
      <c r="D295" s="254" t="s">
        <v>54</v>
      </c>
      <c r="E295" s="255">
        <v>1</v>
      </c>
      <c r="F295" s="256"/>
      <c r="G295" s="250"/>
      <c r="H295" s="273"/>
      <c r="I295" s="327"/>
    </row>
    <row r="296" spans="1:9" ht="12.75">
      <c r="A296" s="257"/>
      <c r="B296" s="279">
        <v>10892</v>
      </c>
      <c r="C296" s="260" t="s">
        <v>457</v>
      </c>
      <c r="D296" s="259" t="s">
        <v>38</v>
      </c>
      <c r="E296" s="280">
        <v>1</v>
      </c>
      <c r="F296" s="258">
        <f>140.58*(1+G6)</f>
        <v>200.3265</v>
      </c>
      <c r="G296" s="258">
        <f>TRUNC((E296*F296),2)</f>
        <v>200.32</v>
      </c>
      <c r="H296" s="273"/>
      <c r="I296" s="326"/>
    </row>
    <row r="297" spans="1:9" ht="12.75">
      <c r="A297" s="257"/>
      <c r="B297" s="337">
        <f>$B$21</f>
        <v>88264</v>
      </c>
      <c r="C297" s="260" t="s">
        <v>250</v>
      </c>
      <c r="D297" s="259" t="s">
        <v>36</v>
      </c>
      <c r="E297" s="280">
        <v>0.5</v>
      </c>
      <c r="F297" s="258">
        <f>$F$21</f>
        <v>19.52</v>
      </c>
      <c r="G297" s="258">
        <f>TRUNC((E297*F297),2)</f>
        <v>9.76</v>
      </c>
      <c r="H297" s="273"/>
      <c r="I297" s="322"/>
    </row>
    <row r="298" spans="1:9" ht="12.75">
      <c r="A298" s="257"/>
      <c r="B298" s="279">
        <f>$B$22</f>
        <v>88247</v>
      </c>
      <c r="C298" s="260" t="s">
        <v>284</v>
      </c>
      <c r="D298" s="344" t="s">
        <v>60</v>
      </c>
      <c r="E298" s="348">
        <v>0.5</v>
      </c>
      <c r="F298" s="258">
        <f>$F$22</f>
        <v>14.84</v>
      </c>
      <c r="G298" s="258">
        <f>TRUNC((E298*F298),2)</f>
        <v>7.42</v>
      </c>
      <c r="H298" s="273"/>
      <c r="I298" s="322"/>
    </row>
    <row r="299" spans="1:9" ht="12.75">
      <c r="A299" s="516" t="s">
        <v>437</v>
      </c>
      <c r="B299" s="517"/>
      <c r="C299" s="517"/>
      <c r="D299" s="517"/>
      <c r="E299" s="517"/>
      <c r="F299" s="518"/>
      <c r="G299" s="244">
        <f>SUM(G296:G298)</f>
        <v>217.49999999999997</v>
      </c>
      <c r="H299" s="273"/>
      <c r="I299" s="322"/>
    </row>
    <row r="300" spans="1:9" ht="12.75">
      <c r="A300" s="265"/>
      <c r="B300" s="265"/>
      <c r="C300" s="265"/>
      <c r="D300" s="265"/>
      <c r="E300" s="265"/>
      <c r="F300" s="265"/>
      <c r="G300" s="282"/>
      <c r="H300" s="273"/>
      <c r="I300" s="322"/>
    </row>
    <row r="301" spans="1:9" ht="12.75">
      <c r="A301" s="245" t="s">
        <v>37</v>
      </c>
      <c r="B301" s="257" t="s">
        <v>102</v>
      </c>
      <c r="C301" s="247" t="s">
        <v>55</v>
      </c>
      <c r="D301" s="245" t="s">
        <v>433</v>
      </c>
      <c r="E301" s="248" t="s">
        <v>434</v>
      </c>
      <c r="F301" s="249" t="s">
        <v>435</v>
      </c>
      <c r="G301" s="250" t="s">
        <v>436</v>
      </c>
      <c r="H301" s="273"/>
      <c r="I301" s="323"/>
    </row>
    <row r="302" spans="1:9" ht="25.5">
      <c r="A302" s="274" t="s">
        <v>406</v>
      </c>
      <c r="B302" s="275"/>
      <c r="C302" s="283" t="s">
        <v>165</v>
      </c>
      <c r="D302" s="277" t="s">
        <v>54</v>
      </c>
      <c r="E302" s="278">
        <v>1</v>
      </c>
      <c r="F302" s="266"/>
      <c r="G302" s="250"/>
      <c r="H302" s="273"/>
      <c r="I302" s="327"/>
    </row>
    <row r="303" spans="1:9" ht="24.75">
      <c r="A303" s="257"/>
      <c r="B303" s="279">
        <v>10886</v>
      </c>
      <c r="C303" s="260" t="s">
        <v>165</v>
      </c>
      <c r="D303" s="259" t="s">
        <v>38</v>
      </c>
      <c r="E303" s="280">
        <v>1</v>
      </c>
      <c r="F303" s="258">
        <f>123*(1+G6)</f>
        <v>175.275</v>
      </c>
      <c r="G303" s="258">
        <f>TRUNC((E303*F303),2)</f>
        <v>175.27</v>
      </c>
      <c r="H303" s="273"/>
      <c r="I303" s="326"/>
    </row>
    <row r="304" spans="1:9" ht="12.75">
      <c r="A304" s="257"/>
      <c r="B304" s="337">
        <f>$B$21</f>
        <v>88264</v>
      </c>
      <c r="C304" s="260" t="s">
        <v>250</v>
      </c>
      <c r="D304" s="259" t="s">
        <v>36</v>
      </c>
      <c r="E304" s="280">
        <v>0.5</v>
      </c>
      <c r="F304" s="258">
        <f>$F$21</f>
        <v>19.52</v>
      </c>
      <c r="G304" s="258">
        <f>TRUNC((E304*F304),2)</f>
        <v>9.76</v>
      </c>
      <c r="H304" s="273"/>
      <c r="I304" s="322"/>
    </row>
    <row r="305" spans="1:9" ht="12.75">
      <c r="A305" s="257"/>
      <c r="B305" s="279">
        <f>$B$22</f>
        <v>88247</v>
      </c>
      <c r="C305" s="260" t="s">
        <v>284</v>
      </c>
      <c r="D305" s="344" t="s">
        <v>60</v>
      </c>
      <c r="E305" s="348">
        <v>0.5</v>
      </c>
      <c r="F305" s="258">
        <f>$F$22</f>
        <v>14.84</v>
      </c>
      <c r="G305" s="258">
        <f>TRUNC((E305*F305),2)</f>
        <v>7.42</v>
      </c>
      <c r="H305" s="273"/>
      <c r="I305" s="322"/>
    </row>
    <row r="306" spans="1:9" ht="12.75">
      <c r="A306" s="516" t="s">
        <v>437</v>
      </c>
      <c r="B306" s="517"/>
      <c r="C306" s="517"/>
      <c r="D306" s="517"/>
      <c r="E306" s="517"/>
      <c r="F306" s="518"/>
      <c r="G306" s="244">
        <f>SUM(G303:G305)</f>
        <v>192.45</v>
      </c>
      <c r="H306" s="273"/>
      <c r="I306" s="322"/>
    </row>
    <row r="307" spans="1:9" ht="12.75">
      <c r="A307" s="265"/>
      <c r="B307" s="265"/>
      <c r="C307" s="265"/>
      <c r="D307" s="265"/>
      <c r="E307" s="265"/>
      <c r="F307" s="265"/>
      <c r="G307" s="282"/>
      <c r="H307" s="273"/>
      <c r="I307" s="322"/>
    </row>
    <row r="308" spans="1:9" ht="12.75">
      <c r="A308" s="245" t="s">
        <v>37</v>
      </c>
      <c r="B308" s="257" t="s">
        <v>102</v>
      </c>
      <c r="C308" s="247" t="s">
        <v>55</v>
      </c>
      <c r="D308" s="245" t="s">
        <v>433</v>
      </c>
      <c r="E308" s="248" t="s">
        <v>434</v>
      </c>
      <c r="F308" s="249" t="s">
        <v>435</v>
      </c>
      <c r="G308" s="250" t="s">
        <v>436</v>
      </c>
      <c r="H308" s="273"/>
      <c r="I308" s="323"/>
    </row>
    <row r="309" spans="1:9" ht="25.5">
      <c r="A309" s="274" t="s">
        <v>407</v>
      </c>
      <c r="B309" s="275"/>
      <c r="C309" s="283" t="s">
        <v>81</v>
      </c>
      <c r="D309" s="277" t="s">
        <v>54</v>
      </c>
      <c r="E309" s="278">
        <v>1</v>
      </c>
      <c r="F309" s="266"/>
      <c r="G309" s="250"/>
      <c r="H309" s="273"/>
      <c r="I309" s="327"/>
    </row>
    <row r="310" spans="1:9" ht="12.75">
      <c r="A310" s="257"/>
      <c r="B310" s="279">
        <v>37539</v>
      </c>
      <c r="C310" s="260" t="s">
        <v>458</v>
      </c>
      <c r="D310" s="259" t="s">
        <v>38</v>
      </c>
      <c r="E310" s="280">
        <v>1</v>
      </c>
      <c r="F310" s="258">
        <f>11.9*(1+G6)</f>
        <v>16.9575</v>
      </c>
      <c r="G310" s="258">
        <f>TRUNC((E310*F310),2)</f>
        <v>16.95</v>
      </c>
      <c r="H310" s="273"/>
      <c r="I310" s="326"/>
    </row>
    <row r="311" spans="1:9" ht="12.75">
      <c r="A311" s="257"/>
      <c r="B311" s="279">
        <v>247</v>
      </c>
      <c r="C311" s="260" t="s">
        <v>284</v>
      </c>
      <c r="D311" s="344" t="s">
        <v>60</v>
      </c>
      <c r="E311" s="348">
        <v>0.33</v>
      </c>
      <c r="F311" s="258">
        <f>$F$22</f>
        <v>14.84</v>
      </c>
      <c r="G311" s="258">
        <f>TRUNC((E311*F311),2)</f>
        <v>4.89</v>
      </c>
      <c r="H311" s="273"/>
      <c r="I311" s="322"/>
    </row>
    <row r="312" spans="1:9" ht="12.75">
      <c r="A312" s="516" t="s">
        <v>437</v>
      </c>
      <c r="B312" s="517"/>
      <c r="C312" s="517"/>
      <c r="D312" s="517"/>
      <c r="E312" s="517"/>
      <c r="F312" s="518"/>
      <c r="G312" s="244">
        <f>SUM(G310:G311)</f>
        <v>21.84</v>
      </c>
      <c r="H312" s="273"/>
      <c r="I312" s="322"/>
    </row>
    <row r="313" spans="1:9" ht="12.75">
      <c r="A313" s="265"/>
      <c r="B313" s="265"/>
      <c r="C313" s="265"/>
      <c r="D313" s="265"/>
      <c r="E313" s="265"/>
      <c r="F313" s="265"/>
      <c r="G313" s="282"/>
      <c r="H313" s="273"/>
      <c r="I313" s="322"/>
    </row>
    <row r="314" spans="1:9" ht="12.75">
      <c r="A314" s="245" t="s">
        <v>37</v>
      </c>
      <c r="B314" s="257" t="s">
        <v>102</v>
      </c>
      <c r="C314" s="247" t="s">
        <v>55</v>
      </c>
      <c r="D314" s="245" t="s">
        <v>433</v>
      </c>
      <c r="E314" s="248" t="s">
        <v>434</v>
      </c>
      <c r="F314" s="249" t="s">
        <v>435</v>
      </c>
      <c r="G314" s="250" t="s">
        <v>436</v>
      </c>
      <c r="H314" s="273"/>
      <c r="I314" s="323"/>
    </row>
    <row r="315" spans="1:9" ht="25.5">
      <c r="A315" s="274" t="s">
        <v>408</v>
      </c>
      <c r="B315" s="275"/>
      <c r="C315" s="283" t="s">
        <v>82</v>
      </c>
      <c r="D315" s="277" t="s">
        <v>54</v>
      </c>
      <c r="E315" s="278">
        <v>1</v>
      </c>
      <c r="F315" s="266"/>
      <c r="G315" s="250"/>
      <c r="H315" s="273"/>
      <c r="I315" s="327"/>
    </row>
    <row r="316" spans="1:9" ht="12.75">
      <c r="A316" s="257"/>
      <c r="B316" s="279">
        <v>37539</v>
      </c>
      <c r="C316" s="260" t="s">
        <v>459</v>
      </c>
      <c r="D316" s="259" t="s">
        <v>38</v>
      </c>
      <c r="E316" s="280">
        <v>1</v>
      </c>
      <c r="F316" s="258">
        <f>11.9*(1+G6)</f>
        <v>16.9575</v>
      </c>
      <c r="G316" s="258">
        <f>TRUNC((E316*F316),2)</f>
        <v>16.95</v>
      </c>
      <c r="H316" s="273"/>
      <c r="I316" s="326"/>
    </row>
    <row r="317" spans="1:9" ht="12.75">
      <c r="A317" s="257"/>
      <c r="B317" s="279">
        <v>247</v>
      </c>
      <c r="C317" s="260" t="s">
        <v>284</v>
      </c>
      <c r="D317" s="344" t="s">
        <v>60</v>
      </c>
      <c r="E317" s="348">
        <v>0.33</v>
      </c>
      <c r="F317" s="258">
        <f>$F$22</f>
        <v>14.84</v>
      </c>
      <c r="G317" s="258">
        <f>TRUNC((E317*F317),2)</f>
        <v>4.89</v>
      </c>
      <c r="H317" s="273"/>
      <c r="I317" s="322"/>
    </row>
    <row r="318" spans="1:9" ht="12.75">
      <c r="A318" s="516" t="s">
        <v>437</v>
      </c>
      <c r="B318" s="517"/>
      <c r="C318" s="517"/>
      <c r="D318" s="517"/>
      <c r="E318" s="517"/>
      <c r="F318" s="518"/>
      <c r="G318" s="244">
        <f>SUM(G316:G317)</f>
        <v>21.84</v>
      </c>
      <c r="H318" s="273"/>
      <c r="I318" s="322"/>
    </row>
    <row r="319" spans="1:9" ht="12.75">
      <c r="A319" s="265"/>
      <c r="B319" s="265"/>
      <c r="C319" s="265"/>
      <c r="D319" s="265"/>
      <c r="E319" s="265"/>
      <c r="F319" s="265"/>
      <c r="G319" s="282"/>
      <c r="H319" s="273"/>
      <c r="I319" s="322"/>
    </row>
    <row r="320" spans="1:9" ht="12.75">
      <c r="A320" s="245" t="s">
        <v>37</v>
      </c>
      <c r="B320" s="257" t="s">
        <v>102</v>
      </c>
      <c r="C320" s="247" t="s">
        <v>55</v>
      </c>
      <c r="D320" s="245" t="s">
        <v>433</v>
      </c>
      <c r="E320" s="248" t="s">
        <v>434</v>
      </c>
      <c r="F320" s="249" t="s">
        <v>435</v>
      </c>
      <c r="G320" s="250" t="s">
        <v>436</v>
      </c>
      <c r="H320" s="273"/>
      <c r="I320" s="323"/>
    </row>
    <row r="321" spans="1:9" ht="39">
      <c r="A321" s="274" t="s">
        <v>409</v>
      </c>
      <c r="B321" s="275"/>
      <c r="C321" s="283" t="s">
        <v>148</v>
      </c>
      <c r="D321" s="277" t="s">
        <v>363</v>
      </c>
      <c r="E321" s="278">
        <v>1</v>
      </c>
      <c r="F321" s="266"/>
      <c r="G321" s="250"/>
      <c r="H321" s="273"/>
      <c r="I321" s="327"/>
    </row>
    <row r="322" spans="1:9" ht="12.75">
      <c r="A322" s="245"/>
      <c r="B322" s="284">
        <v>7304</v>
      </c>
      <c r="C322" s="260" t="s">
        <v>460</v>
      </c>
      <c r="D322" s="285" t="s">
        <v>441</v>
      </c>
      <c r="E322" s="286">
        <v>0.5</v>
      </c>
      <c r="F322" s="258">
        <v>48.71</v>
      </c>
      <c r="G322" s="258">
        <f>TRUNC((E322*F322),2)</f>
        <v>24.35</v>
      </c>
      <c r="H322" s="273"/>
      <c r="I322" s="324"/>
    </row>
    <row r="323" spans="1:9" ht="12.75">
      <c r="A323" s="245"/>
      <c r="B323" s="284">
        <v>88316</v>
      </c>
      <c r="C323" s="260" t="s">
        <v>525</v>
      </c>
      <c r="D323" s="285" t="s">
        <v>60</v>
      </c>
      <c r="E323" s="286">
        <v>0.6</v>
      </c>
      <c r="F323" s="258">
        <v>14.87</v>
      </c>
      <c r="G323" s="258">
        <f>TRUNC((E323*F323),2)</f>
        <v>8.92</v>
      </c>
      <c r="H323" s="273"/>
      <c r="I323" s="322"/>
    </row>
    <row r="324" spans="1:9" ht="12.75">
      <c r="A324" s="245"/>
      <c r="B324" s="339">
        <v>88310</v>
      </c>
      <c r="C324" s="342" t="s">
        <v>524</v>
      </c>
      <c r="D324" s="346" t="s">
        <v>60</v>
      </c>
      <c r="E324" s="350">
        <v>0.6</v>
      </c>
      <c r="F324" s="258">
        <v>19.83</v>
      </c>
      <c r="G324" s="258">
        <f>TRUNC((E324*F324),2)</f>
        <v>11.89</v>
      </c>
      <c r="H324" s="273"/>
      <c r="I324" s="322"/>
    </row>
    <row r="325" spans="1:9" ht="12.75">
      <c r="A325" s="516" t="s">
        <v>437</v>
      </c>
      <c r="B325" s="517"/>
      <c r="C325" s="517"/>
      <c r="D325" s="517"/>
      <c r="E325" s="517"/>
      <c r="F325" s="518"/>
      <c r="G325" s="244">
        <f>SUM(G322:G324)</f>
        <v>45.160000000000004</v>
      </c>
      <c r="H325" s="273"/>
      <c r="I325" s="322"/>
    </row>
    <row r="326" spans="1:9" ht="12.75">
      <c r="A326" s="265"/>
      <c r="B326" s="265"/>
      <c r="C326" s="265"/>
      <c r="D326" s="265"/>
      <c r="E326" s="265"/>
      <c r="F326" s="265"/>
      <c r="G326" s="282"/>
      <c r="H326" s="273"/>
      <c r="I326" s="322"/>
    </row>
    <row r="327" spans="1:9" ht="12.75">
      <c r="A327" s="245" t="s">
        <v>37</v>
      </c>
      <c r="B327" s="257" t="s">
        <v>102</v>
      </c>
      <c r="C327" s="247" t="s">
        <v>55</v>
      </c>
      <c r="D327" s="245" t="s">
        <v>433</v>
      </c>
      <c r="E327" s="248" t="s">
        <v>434</v>
      </c>
      <c r="F327" s="249" t="s">
        <v>435</v>
      </c>
      <c r="G327" s="250" t="s">
        <v>436</v>
      </c>
      <c r="H327" s="273"/>
      <c r="I327" s="323"/>
    </row>
    <row r="328" spans="1:9" ht="25.5">
      <c r="A328" s="274" t="s">
        <v>410</v>
      </c>
      <c r="B328" s="275"/>
      <c r="C328" s="283" t="s">
        <v>83</v>
      </c>
      <c r="D328" s="277" t="s">
        <v>54</v>
      </c>
      <c r="E328" s="278">
        <v>1</v>
      </c>
      <c r="F328" s="266"/>
      <c r="G328" s="250"/>
      <c r="H328" s="273"/>
      <c r="I328" s="327"/>
    </row>
    <row r="329" spans="1:9" ht="12.75">
      <c r="A329" s="245"/>
      <c r="B329" s="284">
        <v>37539</v>
      </c>
      <c r="C329" s="260" t="s">
        <v>461</v>
      </c>
      <c r="D329" s="285" t="s">
        <v>183</v>
      </c>
      <c r="E329" s="286">
        <v>1</v>
      </c>
      <c r="F329" s="258">
        <f>11.9*(1+G6)</f>
        <v>16.9575</v>
      </c>
      <c r="G329" s="258">
        <f>TRUNC((E329*F329),2)</f>
        <v>16.95</v>
      </c>
      <c r="H329" s="273"/>
      <c r="I329" s="324"/>
    </row>
    <row r="330" spans="1:9" ht="12.75">
      <c r="A330" s="257"/>
      <c r="B330" s="279">
        <v>247</v>
      </c>
      <c r="C330" s="260" t="s">
        <v>284</v>
      </c>
      <c r="D330" s="344" t="s">
        <v>60</v>
      </c>
      <c r="E330" s="348">
        <v>0.33</v>
      </c>
      <c r="F330" s="258">
        <f>$F$22</f>
        <v>14.84</v>
      </c>
      <c r="G330" s="258">
        <f>TRUNC((E330*F330),2)</f>
        <v>4.89</v>
      </c>
      <c r="H330" s="273"/>
      <c r="I330" s="322"/>
    </row>
    <row r="331" spans="1:9" ht="12.75">
      <c r="A331" s="516" t="s">
        <v>437</v>
      </c>
      <c r="B331" s="517"/>
      <c r="C331" s="517"/>
      <c r="D331" s="517"/>
      <c r="E331" s="517"/>
      <c r="F331" s="518"/>
      <c r="G331" s="244">
        <f>SUM(G329:G330)</f>
        <v>21.84</v>
      </c>
      <c r="H331" s="273"/>
      <c r="I331" s="322"/>
    </row>
    <row r="332" spans="1:9" ht="12.75">
      <c r="A332" s="265"/>
      <c r="B332" s="265"/>
      <c r="C332" s="265"/>
      <c r="D332" s="265"/>
      <c r="E332" s="265"/>
      <c r="F332" s="265"/>
      <c r="G332" s="282"/>
      <c r="H332" s="273"/>
      <c r="I332" s="322"/>
    </row>
    <row r="333" spans="1:9" ht="12.75" customHeight="1">
      <c r="A333" s="245" t="s">
        <v>37</v>
      </c>
      <c r="B333" s="257" t="s">
        <v>102</v>
      </c>
      <c r="C333" s="247" t="s">
        <v>55</v>
      </c>
      <c r="D333" s="245" t="s">
        <v>433</v>
      </c>
      <c r="E333" s="248" t="s">
        <v>434</v>
      </c>
      <c r="F333" s="249" t="s">
        <v>435</v>
      </c>
      <c r="G333" s="250" t="s">
        <v>436</v>
      </c>
      <c r="H333" s="273"/>
      <c r="I333" s="323"/>
    </row>
    <row r="334" spans="1:9" ht="12.75">
      <c r="A334" s="274" t="s">
        <v>411</v>
      </c>
      <c r="B334" s="275"/>
      <c r="C334" s="283" t="s">
        <v>149</v>
      </c>
      <c r="D334" s="277" t="s">
        <v>20</v>
      </c>
      <c r="E334" s="278">
        <v>1</v>
      </c>
      <c r="F334" s="266"/>
      <c r="G334" s="250"/>
      <c r="H334" s="273"/>
      <c r="I334" s="327"/>
    </row>
    <row r="335" spans="1:9" ht="24.75">
      <c r="A335" s="257"/>
      <c r="B335" s="279">
        <v>38774</v>
      </c>
      <c r="C335" s="260" t="s">
        <v>526</v>
      </c>
      <c r="D335" s="259" t="s">
        <v>38</v>
      </c>
      <c r="E335" s="280">
        <v>1</v>
      </c>
      <c r="F335" s="258">
        <f>32.19*(1+G6)</f>
        <v>45.87075</v>
      </c>
      <c r="G335" s="258">
        <f>TRUNC((E335*F335),2)</f>
        <v>45.87</v>
      </c>
      <c r="H335" s="273"/>
      <c r="I335" s="326"/>
    </row>
    <row r="336" spans="1:9" ht="12.75">
      <c r="A336" s="257"/>
      <c r="B336" s="337">
        <f>$B$21</f>
        <v>88264</v>
      </c>
      <c r="C336" s="260" t="s">
        <v>250</v>
      </c>
      <c r="D336" s="259" t="s">
        <v>36</v>
      </c>
      <c r="E336" s="280">
        <v>0.3</v>
      </c>
      <c r="F336" s="258">
        <f>$F$21</f>
        <v>19.52</v>
      </c>
      <c r="G336" s="258">
        <f>TRUNC((E336*F336),2)</f>
        <v>5.85</v>
      </c>
      <c r="H336" s="273"/>
      <c r="I336" s="322"/>
    </row>
    <row r="337" spans="1:9" ht="12.75">
      <c r="A337" s="257"/>
      <c r="B337" s="279">
        <f>$B$22</f>
        <v>88247</v>
      </c>
      <c r="C337" s="260" t="s">
        <v>284</v>
      </c>
      <c r="D337" s="344" t="s">
        <v>60</v>
      </c>
      <c r="E337" s="348">
        <v>0.3</v>
      </c>
      <c r="F337" s="258">
        <f>$F$22</f>
        <v>14.84</v>
      </c>
      <c r="G337" s="258">
        <f>TRUNC((E337*F337),2)</f>
        <v>4.45</v>
      </c>
      <c r="H337" s="273"/>
      <c r="I337" s="322"/>
    </row>
    <row r="338" spans="1:9" ht="12.75">
      <c r="A338" s="516" t="s">
        <v>437</v>
      </c>
      <c r="B338" s="517"/>
      <c r="C338" s="517"/>
      <c r="D338" s="517"/>
      <c r="E338" s="517"/>
      <c r="F338" s="518"/>
      <c r="G338" s="244">
        <f>SUM(G335:G337)</f>
        <v>56.17</v>
      </c>
      <c r="H338" s="273"/>
      <c r="I338" s="322"/>
    </row>
    <row r="339" spans="1:9" ht="12.75">
      <c r="A339" s="265"/>
      <c r="B339" s="265"/>
      <c r="C339" s="265"/>
      <c r="D339" s="265"/>
      <c r="E339" s="265"/>
      <c r="F339" s="265"/>
      <c r="G339" s="282"/>
      <c r="H339" s="273"/>
      <c r="I339" s="322"/>
    </row>
    <row r="340" spans="1:9" ht="12.75">
      <c r="A340" s="245" t="s">
        <v>37</v>
      </c>
      <c r="B340" s="257" t="s">
        <v>102</v>
      </c>
      <c r="C340" s="247" t="s">
        <v>55</v>
      </c>
      <c r="D340" s="245" t="s">
        <v>433</v>
      </c>
      <c r="E340" s="248" t="s">
        <v>434</v>
      </c>
      <c r="F340" s="249" t="s">
        <v>435</v>
      </c>
      <c r="G340" s="250" t="s">
        <v>436</v>
      </c>
      <c r="H340" s="273"/>
      <c r="I340" s="323"/>
    </row>
    <row r="341" spans="1:9" ht="25.5">
      <c r="A341" s="251" t="s">
        <v>412</v>
      </c>
      <c r="B341" s="252"/>
      <c r="C341" s="253" t="s">
        <v>122</v>
      </c>
      <c r="D341" s="254" t="s">
        <v>21</v>
      </c>
      <c r="E341" s="255">
        <v>1</v>
      </c>
      <c r="F341" s="256"/>
      <c r="G341" s="250"/>
      <c r="H341" s="273"/>
      <c r="I341" s="327"/>
    </row>
    <row r="342" spans="1:9" ht="12.75">
      <c r="A342" s="257"/>
      <c r="B342" s="279">
        <v>2688</v>
      </c>
      <c r="C342" s="281" t="s">
        <v>449</v>
      </c>
      <c r="D342" s="259" t="s">
        <v>57</v>
      </c>
      <c r="E342" s="280">
        <v>1</v>
      </c>
      <c r="F342" s="258">
        <v>1.31</v>
      </c>
      <c r="G342" s="258">
        <f>TRUNC((E342*F342),2)</f>
        <v>1.31</v>
      </c>
      <c r="H342" s="273"/>
      <c r="I342" s="326"/>
    </row>
    <row r="343" spans="1:9" ht="12.75">
      <c r="A343" s="257"/>
      <c r="B343" s="337">
        <f>$B$21</f>
        <v>88264</v>
      </c>
      <c r="C343" s="260" t="s">
        <v>250</v>
      </c>
      <c r="D343" s="259" t="s">
        <v>36</v>
      </c>
      <c r="E343" s="280">
        <v>0.1</v>
      </c>
      <c r="F343" s="258">
        <f>$F$21</f>
        <v>19.52</v>
      </c>
      <c r="G343" s="258">
        <f>TRUNC((E343*F343),2)</f>
        <v>1.95</v>
      </c>
      <c r="H343" s="273"/>
      <c r="I343" s="322"/>
    </row>
    <row r="344" spans="1:9" ht="12.75">
      <c r="A344" s="257"/>
      <c r="B344" s="279">
        <f>$B$22</f>
        <v>88247</v>
      </c>
      <c r="C344" s="260" t="s">
        <v>284</v>
      </c>
      <c r="D344" s="344" t="s">
        <v>60</v>
      </c>
      <c r="E344" s="348">
        <v>0.1</v>
      </c>
      <c r="F344" s="258">
        <f>$F$22</f>
        <v>14.84</v>
      </c>
      <c r="G344" s="258">
        <f>TRUNC((E344*F344),2)</f>
        <v>1.48</v>
      </c>
      <c r="H344" s="273"/>
      <c r="I344" s="322"/>
    </row>
    <row r="345" spans="1:9" ht="12.75">
      <c r="A345" s="516" t="s">
        <v>437</v>
      </c>
      <c r="B345" s="517"/>
      <c r="C345" s="517"/>
      <c r="D345" s="517"/>
      <c r="E345" s="517"/>
      <c r="F345" s="518"/>
      <c r="G345" s="244">
        <f>SUM(G342:G344)</f>
        <v>4.74</v>
      </c>
      <c r="H345" s="273"/>
      <c r="I345" s="322"/>
    </row>
    <row r="346" spans="1:9" ht="12.75">
      <c r="A346" s="265"/>
      <c r="B346" s="265"/>
      <c r="C346" s="265"/>
      <c r="D346" s="265"/>
      <c r="E346" s="265"/>
      <c r="F346" s="265"/>
      <c r="G346" s="282"/>
      <c r="H346" s="273"/>
      <c r="I346" s="322"/>
    </row>
    <row r="347" spans="1:9" ht="12.75">
      <c r="A347" s="245" t="s">
        <v>37</v>
      </c>
      <c r="B347" s="257" t="s">
        <v>102</v>
      </c>
      <c r="C347" s="247" t="s">
        <v>55</v>
      </c>
      <c r="D347" s="245" t="s">
        <v>433</v>
      </c>
      <c r="E347" s="248" t="s">
        <v>434</v>
      </c>
      <c r="F347" s="249" t="s">
        <v>435</v>
      </c>
      <c r="G347" s="250" t="s">
        <v>436</v>
      </c>
      <c r="H347" s="273"/>
      <c r="I347" s="327"/>
    </row>
    <row r="348" spans="1:9" ht="25.5">
      <c r="A348" s="251" t="s">
        <v>413</v>
      </c>
      <c r="B348" s="252"/>
      <c r="C348" s="253" t="s">
        <v>119</v>
      </c>
      <c r="D348" s="254" t="s">
        <v>106</v>
      </c>
      <c r="E348" s="255">
        <v>1</v>
      </c>
      <c r="F348" s="256"/>
      <c r="G348" s="250"/>
      <c r="H348" s="273"/>
      <c r="I348" s="327"/>
    </row>
    <row r="349" spans="1:9" ht="12.75">
      <c r="A349" s="257"/>
      <c r="B349" s="279">
        <v>2388</v>
      </c>
      <c r="C349" s="260" t="s">
        <v>555</v>
      </c>
      <c r="D349" s="259" t="s">
        <v>42</v>
      </c>
      <c r="E349" s="280">
        <v>1</v>
      </c>
      <c r="F349" s="258">
        <v>50.21</v>
      </c>
      <c r="G349" s="258">
        <f>TRUNC((E349*F349),2)</f>
        <v>50.21</v>
      </c>
      <c r="H349" s="273"/>
      <c r="I349" s="326"/>
    </row>
    <row r="350" spans="1:9" ht="12.75">
      <c r="A350" s="257"/>
      <c r="B350" s="337">
        <f>$B$21</f>
        <v>88264</v>
      </c>
      <c r="C350" s="260" t="s">
        <v>250</v>
      </c>
      <c r="D350" s="259" t="s">
        <v>36</v>
      </c>
      <c r="E350" s="280">
        <v>0.2</v>
      </c>
      <c r="F350" s="258">
        <f>$F$21</f>
        <v>19.52</v>
      </c>
      <c r="G350" s="258">
        <f>TRUNC((E350*F350),2)</f>
        <v>3.9</v>
      </c>
      <c r="H350" s="273"/>
      <c r="I350" s="322"/>
    </row>
    <row r="351" spans="1:9" ht="12.75">
      <c r="A351" s="257"/>
      <c r="B351" s="279">
        <f>$B$22</f>
        <v>88247</v>
      </c>
      <c r="C351" s="260" t="s">
        <v>284</v>
      </c>
      <c r="D351" s="344" t="s">
        <v>60</v>
      </c>
      <c r="E351" s="348">
        <v>0.2</v>
      </c>
      <c r="F351" s="258">
        <f>$F$22</f>
        <v>14.84</v>
      </c>
      <c r="G351" s="258">
        <f>TRUNC((E351*F351),2)</f>
        <v>2.96</v>
      </c>
      <c r="I351" s="322"/>
    </row>
    <row r="352" spans="1:9" ht="12.75">
      <c r="A352" s="516" t="s">
        <v>437</v>
      </c>
      <c r="B352" s="517"/>
      <c r="C352" s="517"/>
      <c r="D352" s="517"/>
      <c r="E352" s="517"/>
      <c r="F352" s="518"/>
      <c r="G352" s="244">
        <f>SUM(G349:G351)</f>
        <v>57.07</v>
      </c>
      <c r="H352" s="273"/>
      <c r="I352" s="322"/>
    </row>
    <row r="353" spans="1:9" ht="12.75">
      <c r="A353" s="265"/>
      <c r="B353" s="265"/>
      <c r="C353" s="265"/>
      <c r="D353" s="265"/>
      <c r="E353" s="265"/>
      <c r="F353" s="265"/>
      <c r="G353" s="282"/>
      <c r="H353" s="273"/>
      <c r="I353" s="322"/>
    </row>
    <row r="354" spans="1:9" ht="12.75">
      <c r="A354" s="245" t="s">
        <v>37</v>
      </c>
      <c r="B354" s="257" t="s">
        <v>102</v>
      </c>
      <c r="C354" s="247" t="s">
        <v>55</v>
      </c>
      <c r="D354" s="245" t="s">
        <v>433</v>
      </c>
      <c r="E354" s="248" t="s">
        <v>434</v>
      </c>
      <c r="F354" s="249" t="s">
        <v>435</v>
      </c>
      <c r="G354" s="250" t="s">
        <v>436</v>
      </c>
      <c r="H354" s="273"/>
      <c r="I354" s="327"/>
    </row>
    <row r="355" spans="1:9" ht="25.5">
      <c r="A355" s="251" t="s">
        <v>414</v>
      </c>
      <c r="B355" s="252"/>
      <c r="C355" s="253" t="s">
        <v>71</v>
      </c>
      <c r="D355" s="254" t="s">
        <v>38</v>
      </c>
      <c r="E355" s="255">
        <v>1</v>
      </c>
      <c r="F355" s="256"/>
      <c r="G355" s="250"/>
      <c r="H355" s="273"/>
      <c r="I355" s="327"/>
    </row>
    <row r="356" spans="1:9" ht="12.75">
      <c r="A356" s="257"/>
      <c r="B356" s="279"/>
      <c r="C356" s="260" t="s">
        <v>462</v>
      </c>
      <c r="D356" s="259" t="s">
        <v>42</v>
      </c>
      <c r="E356" s="280">
        <v>1</v>
      </c>
      <c r="F356" s="258">
        <f>21.7*(1+G6)</f>
        <v>30.9225</v>
      </c>
      <c r="G356" s="258">
        <f>TRUNC((E356*F356),2)</f>
        <v>30.92</v>
      </c>
      <c r="H356" s="273"/>
      <c r="I356" s="326"/>
    </row>
    <row r="357" spans="1:9" ht="12.75">
      <c r="A357" s="257"/>
      <c r="B357" s="337">
        <f>$B$21</f>
        <v>88264</v>
      </c>
      <c r="C357" s="260" t="s">
        <v>250</v>
      </c>
      <c r="D357" s="259" t="s">
        <v>36</v>
      </c>
      <c r="E357" s="280">
        <v>0.3</v>
      </c>
      <c r="F357" s="258">
        <f>$F$21</f>
        <v>19.52</v>
      </c>
      <c r="G357" s="258">
        <f>TRUNC((E357*F357),2)</f>
        <v>5.85</v>
      </c>
      <c r="H357" s="273"/>
      <c r="I357" s="322"/>
    </row>
    <row r="358" spans="1:9" ht="12.75">
      <c r="A358" s="257"/>
      <c r="B358" s="279">
        <f>$B$22</f>
        <v>88247</v>
      </c>
      <c r="C358" s="260" t="s">
        <v>284</v>
      </c>
      <c r="D358" s="344" t="s">
        <v>60</v>
      </c>
      <c r="E358" s="348">
        <v>0.3</v>
      </c>
      <c r="F358" s="258">
        <f>$F$22</f>
        <v>14.84</v>
      </c>
      <c r="G358" s="258">
        <f>TRUNC((E358*F358),2)</f>
        <v>4.45</v>
      </c>
      <c r="H358" s="273"/>
      <c r="I358" s="322"/>
    </row>
    <row r="359" spans="1:9" ht="12.75">
      <c r="A359" s="516" t="s">
        <v>437</v>
      </c>
      <c r="B359" s="517"/>
      <c r="C359" s="517"/>
      <c r="D359" s="517"/>
      <c r="E359" s="517"/>
      <c r="F359" s="518"/>
      <c r="G359" s="244">
        <f>SUM(G356:G358)</f>
        <v>41.220000000000006</v>
      </c>
      <c r="H359" s="273"/>
      <c r="I359" s="322"/>
    </row>
    <row r="360" spans="1:9" ht="12.75">
      <c r="A360" s="265"/>
      <c r="B360" s="265"/>
      <c r="C360" s="265"/>
      <c r="D360" s="265"/>
      <c r="E360" s="265"/>
      <c r="F360" s="265"/>
      <c r="G360" s="282"/>
      <c r="H360" s="273"/>
      <c r="I360" s="322"/>
    </row>
    <row r="361" spans="1:9" ht="12.75">
      <c r="A361" s="245" t="s">
        <v>37</v>
      </c>
      <c r="B361" s="257" t="s">
        <v>102</v>
      </c>
      <c r="C361" s="247" t="s">
        <v>55</v>
      </c>
      <c r="D361" s="245" t="s">
        <v>433</v>
      </c>
      <c r="E361" s="248" t="s">
        <v>434</v>
      </c>
      <c r="F361" s="249" t="s">
        <v>435</v>
      </c>
      <c r="G361" s="250" t="s">
        <v>436</v>
      </c>
      <c r="H361" s="273"/>
      <c r="I361" s="327"/>
    </row>
    <row r="362" spans="1:9" ht="12.75">
      <c r="A362" s="251" t="s">
        <v>415</v>
      </c>
      <c r="B362" s="252"/>
      <c r="C362" s="253" t="s">
        <v>85</v>
      </c>
      <c r="D362" s="254" t="s">
        <v>38</v>
      </c>
      <c r="E362" s="255">
        <v>1</v>
      </c>
      <c r="F362" s="256"/>
      <c r="G362" s="250"/>
      <c r="H362" s="273"/>
      <c r="I362" s="327"/>
    </row>
    <row r="363" spans="1:9" ht="12.75">
      <c r="A363" s="257"/>
      <c r="B363" s="279"/>
      <c r="C363" s="260" t="s">
        <v>463</v>
      </c>
      <c r="D363" s="259" t="s">
        <v>42</v>
      </c>
      <c r="E363" s="280">
        <v>1</v>
      </c>
      <c r="F363" s="258">
        <f>17.84*(1+G6)</f>
        <v>25.422</v>
      </c>
      <c r="G363" s="258">
        <f>TRUNC((E363*F363),2)</f>
        <v>25.42</v>
      </c>
      <c r="H363" s="273"/>
      <c r="I363" s="326"/>
    </row>
    <row r="364" spans="1:9" ht="12.75">
      <c r="A364" s="257"/>
      <c r="B364" s="337">
        <f>$B$21</f>
        <v>88264</v>
      </c>
      <c r="C364" s="260" t="s">
        <v>250</v>
      </c>
      <c r="D364" s="259" t="s">
        <v>36</v>
      </c>
      <c r="E364" s="280">
        <v>0.3</v>
      </c>
      <c r="F364" s="258">
        <f>$F$21</f>
        <v>19.52</v>
      </c>
      <c r="G364" s="258">
        <f>TRUNC((E364*F364),2)</f>
        <v>5.85</v>
      </c>
      <c r="H364" s="273"/>
      <c r="I364" s="322"/>
    </row>
    <row r="365" spans="1:9" ht="12.75">
      <c r="A365" s="257"/>
      <c r="B365" s="279">
        <f>$B$22</f>
        <v>88247</v>
      </c>
      <c r="C365" s="260" t="s">
        <v>284</v>
      </c>
      <c r="D365" s="344" t="s">
        <v>60</v>
      </c>
      <c r="E365" s="348">
        <v>0.3</v>
      </c>
      <c r="F365" s="258">
        <f>$F$22</f>
        <v>14.84</v>
      </c>
      <c r="G365" s="258">
        <f>TRUNC((E365*F365),2)</f>
        <v>4.45</v>
      </c>
      <c r="H365" s="273"/>
      <c r="I365" s="322"/>
    </row>
    <row r="366" spans="1:9" ht="12.75">
      <c r="A366" s="516" t="s">
        <v>437</v>
      </c>
      <c r="B366" s="517"/>
      <c r="C366" s="517"/>
      <c r="D366" s="517"/>
      <c r="E366" s="517"/>
      <c r="F366" s="518"/>
      <c r="G366" s="244">
        <f>SUM(G363:G365)</f>
        <v>35.720000000000006</v>
      </c>
      <c r="H366" s="273"/>
      <c r="I366" s="322"/>
    </row>
    <row r="367" spans="1:9" ht="12.75">
      <c r="A367" s="265"/>
      <c r="B367" s="265"/>
      <c r="C367" s="265"/>
      <c r="D367" s="265"/>
      <c r="E367" s="265"/>
      <c r="F367" s="265"/>
      <c r="G367" s="282"/>
      <c r="H367" s="273"/>
      <c r="I367" s="322"/>
    </row>
    <row r="368" spans="1:9" ht="12.75">
      <c r="A368" s="245" t="s">
        <v>37</v>
      </c>
      <c r="B368" s="257" t="s">
        <v>102</v>
      </c>
      <c r="C368" s="247" t="s">
        <v>55</v>
      </c>
      <c r="D368" s="245" t="s">
        <v>433</v>
      </c>
      <c r="E368" s="248" t="s">
        <v>434</v>
      </c>
      <c r="F368" s="249" t="s">
        <v>435</v>
      </c>
      <c r="G368" s="250" t="s">
        <v>436</v>
      </c>
      <c r="H368" s="273"/>
      <c r="I368" s="327"/>
    </row>
    <row r="369" spans="1:9" ht="12.75">
      <c r="A369" s="251" t="s">
        <v>416</v>
      </c>
      <c r="B369" s="252"/>
      <c r="C369" s="253" t="s">
        <v>86</v>
      </c>
      <c r="D369" s="254" t="s">
        <v>38</v>
      </c>
      <c r="E369" s="255">
        <v>1</v>
      </c>
      <c r="F369" s="256"/>
      <c r="G369" s="250"/>
      <c r="H369" s="273"/>
      <c r="I369" s="327"/>
    </row>
    <row r="370" spans="1:9" ht="12.75">
      <c r="A370" s="257"/>
      <c r="B370" s="279"/>
      <c r="C370" s="260" t="s">
        <v>73</v>
      </c>
      <c r="D370" s="259" t="s">
        <v>42</v>
      </c>
      <c r="E370" s="280">
        <v>1</v>
      </c>
      <c r="F370" s="258">
        <f>315.11*(1+G6)</f>
        <v>449.03175000000005</v>
      </c>
      <c r="G370" s="258">
        <f>TRUNC((E370*F370),2)</f>
        <v>449.03</v>
      </c>
      <c r="H370" s="273"/>
      <c r="I370" s="326"/>
    </row>
    <row r="371" spans="1:9" ht="12.75">
      <c r="A371" s="257"/>
      <c r="B371" s="337">
        <f>$B$21</f>
        <v>88264</v>
      </c>
      <c r="C371" s="260" t="s">
        <v>250</v>
      </c>
      <c r="D371" s="259" t="s">
        <v>36</v>
      </c>
      <c r="E371" s="280">
        <v>3</v>
      </c>
      <c r="F371" s="258">
        <f>$F$21</f>
        <v>19.52</v>
      </c>
      <c r="G371" s="258">
        <f>TRUNC((E371*F371),2)</f>
        <v>58.56</v>
      </c>
      <c r="H371" s="273"/>
      <c r="I371" s="322"/>
    </row>
    <row r="372" spans="1:9" ht="12.75">
      <c r="A372" s="257"/>
      <c r="B372" s="279">
        <f>$B$22</f>
        <v>88247</v>
      </c>
      <c r="C372" s="260" t="s">
        <v>284</v>
      </c>
      <c r="D372" s="344" t="s">
        <v>60</v>
      </c>
      <c r="E372" s="348">
        <v>3</v>
      </c>
      <c r="F372" s="258">
        <f>$F$22</f>
        <v>14.84</v>
      </c>
      <c r="G372" s="258">
        <f>TRUNC((E372*F372),2)</f>
        <v>44.52</v>
      </c>
      <c r="H372" s="273"/>
      <c r="I372" s="322"/>
    </row>
    <row r="373" spans="1:9" ht="12.75">
      <c r="A373" s="516" t="s">
        <v>437</v>
      </c>
      <c r="B373" s="517"/>
      <c r="C373" s="517"/>
      <c r="D373" s="517"/>
      <c r="E373" s="517"/>
      <c r="F373" s="518"/>
      <c r="G373" s="244">
        <f>SUM(G370:G372)</f>
        <v>552.11</v>
      </c>
      <c r="H373" s="273"/>
      <c r="I373" s="322"/>
    </row>
    <row r="374" spans="1:9" ht="12.75">
      <c r="A374" s="265"/>
      <c r="B374" s="265"/>
      <c r="C374" s="265"/>
      <c r="D374" s="265"/>
      <c r="E374" s="265"/>
      <c r="F374" s="265"/>
      <c r="G374" s="282"/>
      <c r="H374" s="273"/>
      <c r="I374" s="322"/>
    </row>
    <row r="375" spans="1:9" ht="12.75">
      <c r="A375" s="245" t="s">
        <v>37</v>
      </c>
      <c r="B375" s="257" t="s">
        <v>102</v>
      </c>
      <c r="C375" s="247" t="s">
        <v>55</v>
      </c>
      <c r="D375" s="245" t="s">
        <v>433</v>
      </c>
      <c r="E375" s="248" t="s">
        <v>434</v>
      </c>
      <c r="F375" s="249" t="s">
        <v>435</v>
      </c>
      <c r="G375" s="250" t="s">
        <v>436</v>
      </c>
      <c r="H375" s="273"/>
      <c r="I375" s="327"/>
    </row>
    <row r="376" spans="1:9" ht="12.75">
      <c r="A376" s="251" t="s">
        <v>417</v>
      </c>
      <c r="B376" s="252"/>
      <c r="C376" s="253" t="s">
        <v>87</v>
      </c>
      <c r="D376" s="254" t="s">
        <v>38</v>
      </c>
      <c r="E376" s="255">
        <v>1</v>
      </c>
      <c r="F376" s="256"/>
      <c r="G376" s="250"/>
      <c r="H376" s="273"/>
      <c r="I376" s="327"/>
    </row>
    <row r="377" spans="1:9" ht="12.75">
      <c r="A377" s="257"/>
      <c r="B377" s="279"/>
      <c r="C377" s="260" t="s">
        <v>74</v>
      </c>
      <c r="D377" s="259" t="s">
        <v>42</v>
      </c>
      <c r="E377" s="280">
        <v>1</v>
      </c>
      <c r="F377" s="258">
        <f>45.28*(1+G6)</f>
        <v>64.524</v>
      </c>
      <c r="G377" s="258">
        <f>TRUNC((E377*F377),2)</f>
        <v>64.52</v>
      </c>
      <c r="H377" s="273"/>
      <c r="I377" s="326"/>
    </row>
    <row r="378" spans="1:9" ht="12.75">
      <c r="A378" s="257"/>
      <c r="B378" s="337">
        <f>$B$21</f>
        <v>88264</v>
      </c>
      <c r="C378" s="260" t="s">
        <v>250</v>
      </c>
      <c r="D378" s="259" t="s">
        <v>36</v>
      </c>
      <c r="E378" s="280">
        <v>0.2</v>
      </c>
      <c r="F378" s="258">
        <f>$F$21</f>
        <v>19.52</v>
      </c>
      <c r="G378" s="258">
        <f>TRUNC((E378*F378),2)</f>
        <v>3.9</v>
      </c>
      <c r="H378" s="273"/>
      <c r="I378" s="322"/>
    </row>
    <row r="379" spans="1:9" ht="12.75">
      <c r="A379" s="257"/>
      <c r="B379" s="279">
        <f>$B$22</f>
        <v>88247</v>
      </c>
      <c r="C379" s="260" t="s">
        <v>284</v>
      </c>
      <c r="D379" s="344" t="s">
        <v>60</v>
      </c>
      <c r="E379" s="348">
        <v>0.2</v>
      </c>
      <c r="F379" s="258">
        <f>$F$22</f>
        <v>14.84</v>
      </c>
      <c r="G379" s="258">
        <f>TRUNC((E379*F379),2)</f>
        <v>2.96</v>
      </c>
      <c r="H379" s="273"/>
      <c r="I379" s="322"/>
    </row>
    <row r="380" spans="1:9" ht="12.75">
      <c r="A380" s="516" t="s">
        <v>437</v>
      </c>
      <c r="B380" s="517"/>
      <c r="C380" s="517"/>
      <c r="D380" s="517"/>
      <c r="E380" s="517"/>
      <c r="F380" s="518"/>
      <c r="G380" s="244">
        <f>SUM(G377:G379)</f>
        <v>71.38</v>
      </c>
      <c r="H380" s="273"/>
      <c r="I380" s="322"/>
    </row>
    <row r="381" spans="1:9" ht="12.75">
      <c r="A381" s="265"/>
      <c r="B381" s="265"/>
      <c r="C381" s="265"/>
      <c r="D381" s="265"/>
      <c r="E381" s="265"/>
      <c r="F381" s="265"/>
      <c r="G381" s="282"/>
      <c r="H381" s="273"/>
      <c r="I381" s="322"/>
    </row>
    <row r="382" spans="1:9" ht="12.75">
      <c r="A382" s="245" t="s">
        <v>37</v>
      </c>
      <c r="B382" s="257" t="s">
        <v>102</v>
      </c>
      <c r="C382" s="247" t="s">
        <v>55</v>
      </c>
      <c r="D382" s="245" t="s">
        <v>433</v>
      </c>
      <c r="E382" s="248" t="s">
        <v>434</v>
      </c>
      <c r="F382" s="249" t="s">
        <v>435</v>
      </c>
      <c r="G382" s="250" t="s">
        <v>436</v>
      </c>
      <c r="H382" s="273"/>
      <c r="I382" s="327"/>
    </row>
    <row r="383" spans="1:9" ht="25.5">
      <c r="A383" s="251" t="s">
        <v>418</v>
      </c>
      <c r="B383" s="252"/>
      <c r="C383" s="253" t="s">
        <v>166</v>
      </c>
      <c r="D383" s="254" t="s">
        <v>42</v>
      </c>
      <c r="E383" s="255">
        <v>1</v>
      </c>
      <c r="F383" s="256"/>
      <c r="G383" s="250"/>
      <c r="H383" s="273"/>
      <c r="I383" s="327"/>
    </row>
    <row r="384" spans="1:9" ht="37.5">
      <c r="A384" s="257"/>
      <c r="B384" s="279">
        <v>1022</v>
      </c>
      <c r="C384" s="260" t="s">
        <v>527</v>
      </c>
      <c r="D384" s="259" t="s">
        <v>107</v>
      </c>
      <c r="E384" s="280">
        <v>1</v>
      </c>
      <c r="F384" s="258">
        <f>1.89*(1+G6)</f>
        <v>2.69325</v>
      </c>
      <c r="G384" s="258">
        <f>TRUNC((E384*F384),2)</f>
        <v>2.69</v>
      </c>
      <c r="H384" s="273"/>
      <c r="I384" s="326"/>
    </row>
    <row r="385" spans="1:9" ht="12.75">
      <c r="A385" s="257"/>
      <c r="B385" s="337">
        <f>$B$21</f>
        <v>88264</v>
      </c>
      <c r="C385" s="260" t="s">
        <v>250</v>
      </c>
      <c r="D385" s="259" t="s">
        <v>36</v>
      </c>
      <c r="E385" s="280">
        <v>0.05</v>
      </c>
      <c r="F385" s="258">
        <f>$F$21</f>
        <v>19.52</v>
      </c>
      <c r="G385" s="258">
        <f>TRUNC((E385*F385),2)</f>
        <v>0.97</v>
      </c>
      <c r="H385" s="273"/>
      <c r="I385" s="322"/>
    </row>
    <row r="386" spans="1:9" ht="12.75">
      <c r="A386" s="257"/>
      <c r="B386" s="279">
        <f>$B$22</f>
        <v>88247</v>
      </c>
      <c r="C386" s="260" t="s">
        <v>284</v>
      </c>
      <c r="D386" s="344" t="s">
        <v>60</v>
      </c>
      <c r="E386" s="348">
        <v>0.05</v>
      </c>
      <c r="F386" s="258">
        <f>$F$22</f>
        <v>14.84</v>
      </c>
      <c r="G386" s="258">
        <f>TRUNC((E386*F386),2)</f>
        <v>0.74</v>
      </c>
      <c r="H386" s="273"/>
      <c r="I386" s="322"/>
    </row>
    <row r="387" spans="1:9" ht="12.75">
      <c r="A387" s="516" t="s">
        <v>437</v>
      </c>
      <c r="B387" s="517"/>
      <c r="C387" s="517"/>
      <c r="D387" s="517"/>
      <c r="E387" s="517"/>
      <c r="F387" s="518"/>
      <c r="G387" s="244">
        <f>SUM(G384:G386)</f>
        <v>4.4</v>
      </c>
      <c r="H387" s="273"/>
      <c r="I387" s="322"/>
    </row>
    <row r="388" spans="1:9" ht="12.75">
      <c r="A388" s="265"/>
      <c r="B388" s="265"/>
      <c r="C388" s="265"/>
      <c r="D388" s="265"/>
      <c r="E388" s="265"/>
      <c r="F388" s="265"/>
      <c r="G388" s="282"/>
      <c r="H388" s="273"/>
      <c r="I388" s="322"/>
    </row>
    <row r="389" spans="1:9" ht="12.75">
      <c r="A389" s="245" t="s">
        <v>37</v>
      </c>
      <c r="B389" s="257" t="s">
        <v>102</v>
      </c>
      <c r="C389" s="247" t="s">
        <v>55</v>
      </c>
      <c r="D389" s="245" t="s">
        <v>433</v>
      </c>
      <c r="E389" s="248" t="s">
        <v>434</v>
      </c>
      <c r="F389" s="249" t="s">
        <v>435</v>
      </c>
      <c r="G389" s="250" t="s">
        <v>436</v>
      </c>
      <c r="H389" s="273"/>
      <c r="I389" s="327"/>
    </row>
    <row r="390" spans="1:9" ht="25.5">
      <c r="A390" s="251" t="s">
        <v>419</v>
      </c>
      <c r="B390" s="252"/>
      <c r="C390" s="253" t="s">
        <v>118</v>
      </c>
      <c r="D390" s="254" t="s">
        <v>107</v>
      </c>
      <c r="E390" s="255">
        <v>1</v>
      </c>
      <c r="F390" s="256"/>
      <c r="G390" s="250"/>
      <c r="H390" s="273"/>
      <c r="I390" s="327"/>
    </row>
    <row r="391" spans="1:9" ht="37.5">
      <c r="A391" s="257"/>
      <c r="B391" s="279">
        <v>1021</v>
      </c>
      <c r="C391" s="260" t="s">
        <v>528</v>
      </c>
      <c r="D391" s="259" t="s">
        <v>107</v>
      </c>
      <c r="E391" s="280">
        <v>1</v>
      </c>
      <c r="F391" s="258">
        <f>2.7*(1+G6)</f>
        <v>3.8475000000000006</v>
      </c>
      <c r="G391" s="258">
        <f>TRUNC((E391*F391),2)</f>
        <v>3.84</v>
      </c>
      <c r="H391" s="273"/>
      <c r="I391" s="326"/>
    </row>
    <row r="392" spans="1:9" ht="12.75">
      <c r="A392" s="257"/>
      <c r="B392" s="337">
        <f>$B$21</f>
        <v>88264</v>
      </c>
      <c r="C392" s="260" t="s">
        <v>250</v>
      </c>
      <c r="D392" s="259" t="s">
        <v>36</v>
      </c>
      <c r="E392" s="280">
        <v>0.05</v>
      </c>
      <c r="F392" s="258">
        <f>$F$21</f>
        <v>19.52</v>
      </c>
      <c r="G392" s="258">
        <f>TRUNC((E392*F392),2)</f>
        <v>0.97</v>
      </c>
      <c r="H392" s="273"/>
      <c r="I392" s="322"/>
    </row>
    <row r="393" spans="1:9" ht="12.75">
      <c r="A393" s="257"/>
      <c r="B393" s="279">
        <f>$B$22</f>
        <v>88247</v>
      </c>
      <c r="C393" s="260" t="s">
        <v>284</v>
      </c>
      <c r="D393" s="344" t="s">
        <v>60</v>
      </c>
      <c r="E393" s="348">
        <v>0.05</v>
      </c>
      <c r="F393" s="258">
        <f>$F$22</f>
        <v>14.84</v>
      </c>
      <c r="G393" s="258">
        <f>TRUNC((E393*F393),2)</f>
        <v>0.74</v>
      </c>
      <c r="H393" s="273"/>
      <c r="I393" s="322"/>
    </row>
    <row r="394" spans="1:9" ht="12.75">
      <c r="A394" s="516" t="s">
        <v>437</v>
      </c>
      <c r="B394" s="517"/>
      <c r="C394" s="517"/>
      <c r="D394" s="517"/>
      <c r="E394" s="517"/>
      <c r="F394" s="518"/>
      <c r="G394" s="244">
        <f>SUM(G391:G393)</f>
        <v>5.55</v>
      </c>
      <c r="H394" s="273"/>
      <c r="I394" s="322"/>
    </row>
    <row r="395" spans="1:9" ht="12.75">
      <c r="A395" s="265"/>
      <c r="B395" s="265"/>
      <c r="C395" s="265"/>
      <c r="D395" s="265"/>
      <c r="E395" s="265"/>
      <c r="F395" s="265"/>
      <c r="G395" s="282"/>
      <c r="H395" s="273"/>
      <c r="I395" s="322"/>
    </row>
    <row r="396" spans="1:9" ht="12.75" customHeight="1">
      <c r="A396" s="245" t="s">
        <v>37</v>
      </c>
      <c r="B396" s="257" t="s">
        <v>102</v>
      </c>
      <c r="C396" s="247" t="s">
        <v>55</v>
      </c>
      <c r="D396" s="245" t="s">
        <v>433</v>
      </c>
      <c r="E396" s="248" t="s">
        <v>434</v>
      </c>
      <c r="F396" s="249" t="s">
        <v>435</v>
      </c>
      <c r="G396" s="250" t="s">
        <v>436</v>
      </c>
      <c r="H396" s="273"/>
      <c r="I396" s="327"/>
    </row>
    <row r="397" spans="1:9" ht="25.5">
      <c r="A397" s="251" t="s">
        <v>420</v>
      </c>
      <c r="B397" s="252"/>
      <c r="C397" s="253" t="s">
        <v>88</v>
      </c>
      <c r="D397" s="254" t="s">
        <v>38</v>
      </c>
      <c r="E397" s="255">
        <v>1</v>
      </c>
      <c r="F397" s="256"/>
      <c r="G397" s="250"/>
      <c r="H397" s="273"/>
      <c r="I397" s="327"/>
    </row>
    <row r="398" spans="1:9" ht="12.75">
      <c r="A398" s="257"/>
      <c r="B398" s="279"/>
      <c r="C398" s="260" t="s">
        <v>464</v>
      </c>
      <c r="D398" s="259" t="s">
        <v>107</v>
      </c>
      <c r="E398" s="280">
        <v>1</v>
      </c>
      <c r="F398" s="258">
        <f>3.73*(1+G6)</f>
        <v>5.31525</v>
      </c>
      <c r="G398" s="258">
        <f>TRUNC((E398*F398),2)</f>
        <v>5.31</v>
      </c>
      <c r="H398" s="273"/>
      <c r="I398" s="326"/>
    </row>
    <row r="399" spans="1:9" ht="12.75">
      <c r="A399" s="257"/>
      <c r="B399" s="337">
        <f>$B$21</f>
        <v>88264</v>
      </c>
      <c r="C399" s="260" t="s">
        <v>250</v>
      </c>
      <c r="D399" s="259" t="s">
        <v>36</v>
      </c>
      <c r="E399" s="280">
        <v>0.1</v>
      </c>
      <c r="F399" s="258">
        <f>$F$21</f>
        <v>19.52</v>
      </c>
      <c r="G399" s="258">
        <f>TRUNC((E399*F399),2)</f>
        <v>1.95</v>
      </c>
      <c r="H399" s="273"/>
      <c r="I399" s="322"/>
    </row>
    <row r="400" spans="1:9" ht="12.75">
      <c r="A400" s="257"/>
      <c r="B400" s="279">
        <f>$B$22</f>
        <v>88247</v>
      </c>
      <c r="C400" s="260" t="s">
        <v>284</v>
      </c>
      <c r="D400" s="344" t="s">
        <v>60</v>
      </c>
      <c r="E400" s="348">
        <v>0.1</v>
      </c>
      <c r="F400" s="258">
        <f>$F$22</f>
        <v>14.84</v>
      </c>
      <c r="G400" s="258">
        <f>TRUNC((E400*F400),2)</f>
        <v>1.48</v>
      </c>
      <c r="H400" s="273"/>
      <c r="I400" s="322"/>
    </row>
    <row r="401" spans="1:9" ht="12.75">
      <c r="A401" s="516" t="s">
        <v>437</v>
      </c>
      <c r="B401" s="517"/>
      <c r="C401" s="517"/>
      <c r="D401" s="517"/>
      <c r="E401" s="517"/>
      <c r="F401" s="518"/>
      <c r="G401" s="244">
        <f>SUM(G398:G400)</f>
        <v>8.74</v>
      </c>
      <c r="H401" s="273"/>
      <c r="I401" s="322"/>
    </row>
    <row r="402" spans="1:9" ht="12.75">
      <c r="A402" s="265"/>
      <c r="B402" s="265"/>
      <c r="C402" s="265"/>
      <c r="D402" s="265"/>
      <c r="E402" s="265"/>
      <c r="F402" s="265"/>
      <c r="G402" s="282"/>
      <c r="H402" s="273"/>
      <c r="I402" s="322"/>
    </row>
    <row r="403" spans="1:9" ht="12.75">
      <c r="A403" s="245" t="s">
        <v>37</v>
      </c>
      <c r="B403" s="257" t="s">
        <v>102</v>
      </c>
      <c r="C403" s="247" t="s">
        <v>55</v>
      </c>
      <c r="D403" s="245" t="s">
        <v>433</v>
      </c>
      <c r="E403" s="248" t="s">
        <v>434</v>
      </c>
      <c r="F403" s="249" t="s">
        <v>435</v>
      </c>
      <c r="G403" s="250" t="s">
        <v>436</v>
      </c>
      <c r="H403" s="273"/>
      <c r="I403" s="327"/>
    </row>
    <row r="404" spans="1:9" ht="25.5">
      <c r="A404" s="251" t="s">
        <v>421</v>
      </c>
      <c r="B404" s="252"/>
      <c r="C404" s="253" t="s">
        <v>152</v>
      </c>
      <c r="D404" s="254" t="s">
        <v>42</v>
      </c>
      <c r="E404" s="255">
        <v>70</v>
      </c>
      <c r="F404" s="256"/>
      <c r="G404" s="250"/>
      <c r="H404" s="273"/>
      <c r="I404" s="327"/>
    </row>
    <row r="405" spans="1:9" ht="12.75">
      <c r="A405" s="257"/>
      <c r="B405" s="279">
        <v>2688</v>
      </c>
      <c r="C405" s="281" t="s">
        <v>449</v>
      </c>
      <c r="D405" s="259" t="s">
        <v>57</v>
      </c>
      <c r="E405" s="280">
        <v>1</v>
      </c>
      <c r="F405" s="258">
        <f>1.21*(1+G6)</f>
        <v>1.72425</v>
      </c>
      <c r="G405" s="258">
        <f>TRUNC((E405*F405),2)</f>
        <v>1.72</v>
      </c>
      <c r="H405" s="273"/>
      <c r="I405" s="326"/>
    </row>
    <row r="406" spans="1:9" ht="12.75">
      <c r="A406" s="257"/>
      <c r="B406" s="337">
        <f>$B$21</f>
        <v>88264</v>
      </c>
      <c r="C406" s="260" t="s">
        <v>250</v>
      </c>
      <c r="D406" s="259" t="s">
        <v>36</v>
      </c>
      <c r="E406" s="280">
        <v>0.1</v>
      </c>
      <c r="F406" s="258">
        <f>$F$21</f>
        <v>19.52</v>
      </c>
      <c r="G406" s="258">
        <f>TRUNC((E406*F406),2)</f>
        <v>1.95</v>
      </c>
      <c r="H406" s="273"/>
      <c r="I406" s="322"/>
    </row>
    <row r="407" spans="1:9" ht="12.75">
      <c r="A407" s="257"/>
      <c r="B407" s="279">
        <f>$B$22</f>
        <v>88247</v>
      </c>
      <c r="C407" s="260" t="s">
        <v>284</v>
      </c>
      <c r="D407" s="344" t="s">
        <v>60</v>
      </c>
      <c r="E407" s="348">
        <v>0.1</v>
      </c>
      <c r="F407" s="258">
        <f>$F$22</f>
        <v>14.84</v>
      </c>
      <c r="G407" s="258">
        <f>TRUNC((E407*F407),2)</f>
        <v>1.48</v>
      </c>
      <c r="H407" s="273"/>
      <c r="I407" s="322"/>
    </row>
    <row r="408" spans="1:9" ht="12.75">
      <c r="A408" s="516" t="s">
        <v>437</v>
      </c>
      <c r="B408" s="517"/>
      <c r="C408" s="517"/>
      <c r="D408" s="517"/>
      <c r="E408" s="517"/>
      <c r="F408" s="518"/>
      <c r="G408" s="244">
        <f>SUM(G405:G407)</f>
        <v>5.15</v>
      </c>
      <c r="H408" s="273"/>
      <c r="I408" s="322"/>
    </row>
    <row r="409" spans="1:9" ht="12.75">
      <c r="A409" s="265"/>
      <c r="B409" s="265"/>
      <c r="C409" s="265"/>
      <c r="D409" s="265"/>
      <c r="E409" s="265"/>
      <c r="F409" s="265"/>
      <c r="G409" s="282"/>
      <c r="H409" s="273"/>
      <c r="I409" s="322"/>
    </row>
    <row r="410" spans="1:9" ht="12.75">
      <c r="A410" s="245" t="s">
        <v>37</v>
      </c>
      <c r="B410" s="257" t="s">
        <v>102</v>
      </c>
      <c r="C410" s="247" t="s">
        <v>55</v>
      </c>
      <c r="D410" s="245" t="s">
        <v>433</v>
      </c>
      <c r="E410" s="248" t="s">
        <v>434</v>
      </c>
      <c r="F410" s="249" t="s">
        <v>435</v>
      </c>
      <c r="G410" s="250" t="s">
        <v>436</v>
      </c>
      <c r="H410" s="273"/>
      <c r="I410" s="327"/>
    </row>
    <row r="411" spans="1:9" ht="12.75">
      <c r="A411" s="251" t="s">
        <v>422</v>
      </c>
      <c r="B411" s="252"/>
      <c r="C411" s="253" t="s">
        <v>160</v>
      </c>
      <c r="D411" s="254" t="s">
        <v>106</v>
      </c>
      <c r="E411" s="255">
        <v>1</v>
      </c>
      <c r="F411" s="256"/>
      <c r="G411" s="250"/>
      <c r="H411" s="273"/>
      <c r="I411" s="327"/>
    </row>
    <row r="412" spans="1:9" ht="12.75">
      <c r="A412" s="257"/>
      <c r="B412" s="279">
        <v>2556</v>
      </c>
      <c r="C412" s="281" t="s">
        <v>529</v>
      </c>
      <c r="D412" s="259" t="s">
        <v>57</v>
      </c>
      <c r="E412" s="280">
        <v>1</v>
      </c>
      <c r="F412" s="258">
        <f>1.1*(1+G6)</f>
        <v>1.5675000000000001</v>
      </c>
      <c r="G412" s="258">
        <f>TRUNC((E412*F412),2)</f>
        <v>1.56</v>
      </c>
      <c r="H412" s="273"/>
      <c r="I412" s="326"/>
    </row>
    <row r="413" spans="1:9" ht="12.75">
      <c r="A413" s="257"/>
      <c r="B413" s="337">
        <f>$B$21</f>
        <v>88264</v>
      </c>
      <c r="C413" s="260" t="s">
        <v>250</v>
      </c>
      <c r="D413" s="259" t="s">
        <v>36</v>
      </c>
      <c r="E413" s="280">
        <v>0.1</v>
      </c>
      <c r="F413" s="258">
        <f>$F$21</f>
        <v>19.52</v>
      </c>
      <c r="G413" s="258">
        <f>TRUNC((E413*F413),2)</f>
        <v>1.95</v>
      </c>
      <c r="H413" s="273"/>
      <c r="I413" s="322"/>
    </row>
    <row r="414" spans="1:9" ht="12.75">
      <c r="A414" s="257"/>
      <c r="B414" s="279">
        <f>$B$22</f>
        <v>88247</v>
      </c>
      <c r="C414" s="260" t="s">
        <v>284</v>
      </c>
      <c r="D414" s="344" t="s">
        <v>60</v>
      </c>
      <c r="E414" s="348">
        <v>0.1</v>
      </c>
      <c r="F414" s="258">
        <f>$F$22</f>
        <v>14.84</v>
      </c>
      <c r="G414" s="258">
        <f>TRUNC((E414*F414),2)</f>
        <v>1.48</v>
      </c>
      <c r="H414" s="273"/>
      <c r="I414" s="322"/>
    </row>
    <row r="415" spans="1:9" ht="12.75">
      <c r="A415" s="516" t="s">
        <v>437</v>
      </c>
      <c r="B415" s="517"/>
      <c r="C415" s="517"/>
      <c r="D415" s="517"/>
      <c r="E415" s="517"/>
      <c r="F415" s="518"/>
      <c r="G415" s="244">
        <f>SUM(G412:G414)</f>
        <v>4.99</v>
      </c>
      <c r="H415" s="273"/>
      <c r="I415" s="322"/>
    </row>
    <row r="416" spans="1:9" ht="12.75">
      <c r="A416" s="265"/>
      <c r="B416" s="265"/>
      <c r="C416" s="265"/>
      <c r="D416" s="265"/>
      <c r="E416" s="265"/>
      <c r="F416" s="265"/>
      <c r="G416" s="282"/>
      <c r="H416" s="273"/>
      <c r="I416" s="322"/>
    </row>
    <row r="417" spans="1:9" ht="12.75" customHeight="1">
      <c r="A417" s="245" t="s">
        <v>37</v>
      </c>
      <c r="B417" s="257" t="s">
        <v>102</v>
      </c>
      <c r="C417" s="247" t="s">
        <v>55</v>
      </c>
      <c r="D417" s="245" t="s">
        <v>433</v>
      </c>
      <c r="E417" s="248" t="s">
        <v>434</v>
      </c>
      <c r="F417" s="249" t="s">
        <v>435</v>
      </c>
      <c r="G417" s="250" t="s">
        <v>436</v>
      </c>
      <c r="H417" s="273"/>
      <c r="I417" s="323"/>
    </row>
    <row r="418" spans="1:9" ht="12.75">
      <c r="A418" s="274" t="s">
        <v>396</v>
      </c>
      <c r="B418" s="275"/>
      <c r="C418" s="283" t="s">
        <v>397</v>
      </c>
      <c r="D418" s="277" t="s">
        <v>363</v>
      </c>
      <c r="E418" s="278">
        <v>1</v>
      </c>
      <c r="F418" s="266"/>
      <c r="G418" s="250"/>
      <c r="H418" s="273"/>
      <c r="I418" s="327"/>
    </row>
    <row r="419" spans="1:9" ht="12.75">
      <c r="A419" s="245"/>
      <c r="B419" s="284">
        <v>88316</v>
      </c>
      <c r="C419" s="260" t="s">
        <v>525</v>
      </c>
      <c r="D419" s="285" t="s">
        <v>60</v>
      </c>
      <c r="E419" s="286">
        <v>0.165</v>
      </c>
      <c r="F419" s="258">
        <f>$F$22</f>
        <v>14.84</v>
      </c>
      <c r="G419" s="258">
        <f>TRUNC((E419*F419),2)</f>
        <v>2.44</v>
      </c>
      <c r="H419" s="273"/>
      <c r="I419" s="322"/>
    </row>
    <row r="420" spans="1:9" ht="12.75">
      <c r="A420" s="516" t="s">
        <v>437</v>
      </c>
      <c r="B420" s="517"/>
      <c r="C420" s="517"/>
      <c r="D420" s="517"/>
      <c r="E420" s="517"/>
      <c r="F420" s="518"/>
      <c r="G420" s="244">
        <f>SUM(G419:G419)</f>
        <v>2.44</v>
      </c>
      <c r="H420" s="273"/>
      <c r="I420" s="322"/>
    </row>
    <row r="421" spans="1:9" ht="12.75">
      <c r="A421" s="265"/>
      <c r="B421" s="265"/>
      <c r="C421" s="265"/>
      <c r="D421" s="265"/>
      <c r="E421" s="265"/>
      <c r="F421" s="265"/>
      <c r="G421" s="282"/>
      <c r="H421" s="273"/>
      <c r="I421" s="322"/>
    </row>
    <row r="422" spans="1:9" ht="12.75">
      <c r="A422" s="245" t="s">
        <v>37</v>
      </c>
      <c r="B422" s="257" t="s">
        <v>102</v>
      </c>
      <c r="C422" s="247" t="s">
        <v>55</v>
      </c>
      <c r="D422" s="245" t="s">
        <v>433</v>
      </c>
      <c r="E422" s="248" t="s">
        <v>434</v>
      </c>
      <c r="F422" s="249" t="s">
        <v>435</v>
      </c>
      <c r="G422" s="250" t="s">
        <v>436</v>
      </c>
      <c r="H422" s="272"/>
      <c r="I422" s="320"/>
    </row>
    <row r="423" spans="1:9" ht="12.75">
      <c r="A423" s="328" t="s">
        <v>398</v>
      </c>
      <c r="B423" s="329"/>
      <c r="C423" s="330" t="s">
        <v>399</v>
      </c>
      <c r="D423" s="331" t="s">
        <v>27</v>
      </c>
      <c r="E423" s="278">
        <v>1</v>
      </c>
      <c r="F423" s="268">
        <v>5.9</v>
      </c>
      <c r="G423" s="250"/>
      <c r="H423" s="273"/>
      <c r="I423" s="324"/>
    </row>
    <row r="424" spans="1:9" ht="12.75">
      <c r="A424" s="245"/>
      <c r="B424" s="284">
        <v>88316</v>
      </c>
      <c r="C424" s="260" t="s">
        <v>525</v>
      </c>
      <c r="D424" s="285" t="s">
        <v>60</v>
      </c>
      <c r="E424" s="351">
        <v>0.216</v>
      </c>
      <c r="F424" s="258">
        <f>$F$22</f>
        <v>14.84</v>
      </c>
      <c r="G424" s="258">
        <f>TRUNC((E424*F424),2)</f>
        <v>3.2</v>
      </c>
      <c r="H424" s="273"/>
      <c r="I424" s="322"/>
    </row>
    <row r="425" spans="1:9" ht="37.5">
      <c r="A425" s="259"/>
      <c r="B425" s="340">
        <v>5811</v>
      </c>
      <c r="C425" s="343" t="s">
        <v>562</v>
      </c>
      <c r="D425" s="285" t="s">
        <v>60</v>
      </c>
      <c r="E425" s="351">
        <v>0.04</v>
      </c>
      <c r="F425" s="258">
        <v>124.25</v>
      </c>
      <c r="G425" s="335">
        <f>TRUNC((E425*F425),2)</f>
        <v>4.97</v>
      </c>
      <c r="H425" s="273"/>
      <c r="I425" s="324"/>
    </row>
    <row r="426" spans="1:9" ht="37.5">
      <c r="A426" s="257"/>
      <c r="B426" s="279">
        <v>5961</v>
      </c>
      <c r="C426" s="260" t="s">
        <v>563</v>
      </c>
      <c r="D426" s="259" t="s">
        <v>60</v>
      </c>
      <c r="E426" s="351">
        <v>0.04</v>
      </c>
      <c r="F426" s="258">
        <v>31.96</v>
      </c>
      <c r="G426" s="258">
        <f>TRUNC((E426*F426),2)</f>
        <v>1.27</v>
      </c>
      <c r="H426" s="273"/>
      <c r="I426" s="322"/>
    </row>
    <row r="427" spans="1:9" ht="12.75">
      <c r="A427" s="516" t="s">
        <v>437</v>
      </c>
      <c r="B427" s="517"/>
      <c r="C427" s="517"/>
      <c r="D427" s="517"/>
      <c r="E427" s="517"/>
      <c r="F427" s="518"/>
      <c r="G427" s="244">
        <f>SUM(G424:G426)</f>
        <v>9.44</v>
      </c>
      <c r="H427" s="273"/>
      <c r="I427" s="322"/>
    </row>
    <row r="428" spans="1:9" ht="12.75">
      <c r="A428" s="265"/>
      <c r="B428" s="265"/>
      <c r="C428" s="265"/>
      <c r="D428" s="265"/>
      <c r="E428" s="265"/>
      <c r="F428" s="265"/>
      <c r="G428" s="282"/>
      <c r="H428" s="273"/>
      <c r="I428" s="322"/>
    </row>
  </sheetData>
  <sheetProtection/>
  <autoFilter ref="C1:C428"/>
  <mergeCells count="59">
    <mergeCell ref="B1:G1"/>
    <mergeCell ref="B3:G3"/>
    <mergeCell ref="A5:G5"/>
    <mergeCell ref="A15:F15"/>
    <mergeCell ref="A23:F23"/>
    <mergeCell ref="A31:F31"/>
    <mergeCell ref="A38:F38"/>
    <mergeCell ref="A45:F45"/>
    <mergeCell ref="A52:F52"/>
    <mergeCell ref="A59:F59"/>
    <mergeCell ref="A66:F66"/>
    <mergeCell ref="A73:F73"/>
    <mergeCell ref="A80:F80"/>
    <mergeCell ref="A87:F87"/>
    <mergeCell ref="A94:F94"/>
    <mergeCell ref="A101:F101"/>
    <mergeCell ref="A108:F108"/>
    <mergeCell ref="A115:F115"/>
    <mergeCell ref="A122:F122"/>
    <mergeCell ref="A129:F129"/>
    <mergeCell ref="A136:F136"/>
    <mergeCell ref="A143:F143"/>
    <mergeCell ref="A150:F150"/>
    <mergeCell ref="A156:F156"/>
    <mergeCell ref="A163:F163"/>
    <mergeCell ref="A170:F170"/>
    <mergeCell ref="A177:F177"/>
    <mergeCell ref="A184:F184"/>
    <mergeCell ref="A191:F191"/>
    <mergeCell ref="A198:F198"/>
    <mergeCell ref="A205:F205"/>
    <mergeCell ref="A212:F212"/>
    <mergeCell ref="A219:F219"/>
    <mergeCell ref="A226:F226"/>
    <mergeCell ref="A233:F233"/>
    <mergeCell ref="A240:F240"/>
    <mergeCell ref="A247:F247"/>
    <mergeCell ref="A254:F254"/>
    <mergeCell ref="A292:F292"/>
    <mergeCell ref="A299:F299"/>
    <mergeCell ref="A306:F306"/>
    <mergeCell ref="A312:F312"/>
    <mergeCell ref="A408:F408"/>
    <mergeCell ref="A318:F318"/>
    <mergeCell ref="A325:F325"/>
    <mergeCell ref="A331:F331"/>
    <mergeCell ref="A338:F338"/>
    <mergeCell ref="A345:F345"/>
    <mergeCell ref="A352:F352"/>
    <mergeCell ref="A415:F415"/>
    <mergeCell ref="A359:F359"/>
    <mergeCell ref="A366:F366"/>
    <mergeCell ref="A373:F373"/>
    <mergeCell ref="A420:F420"/>
    <mergeCell ref="A427:F427"/>
    <mergeCell ref="A380:F380"/>
    <mergeCell ref="A387:F387"/>
    <mergeCell ref="A394:F394"/>
    <mergeCell ref="A401:F401"/>
  </mergeCells>
  <conditionalFormatting sqref="E258:E291">
    <cfRule type="cellIs" priority="170" dxfId="0" operator="equal" stopIfTrue="1">
      <formula>0</formula>
    </cfRule>
  </conditionalFormatting>
  <conditionalFormatting sqref="E10:F10">
    <cfRule type="cellIs" priority="165" dxfId="0" operator="equal" stopIfTrue="1">
      <formula>0</formula>
    </cfRule>
  </conditionalFormatting>
  <conditionalFormatting sqref="E27:F27">
    <cfRule type="cellIs" priority="143" dxfId="0" operator="equal" stopIfTrue="1">
      <formula>0</formula>
    </cfRule>
  </conditionalFormatting>
  <conditionalFormatting sqref="E34:F34">
    <cfRule type="cellIs" priority="105" dxfId="0" operator="equal" stopIfTrue="1">
      <formula>0</formula>
    </cfRule>
  </conditionalFormatting>
  <conditionalFormatting sqref="E41:F41">
    <cfRule type="cellIs" priority="104" dxfId="0" operator="equal" stopIfTrue="1">
      <formula>0</formula>
    </cfRule>
  </conditionalFormatting>
  <conditionalFormatting sqref="E48:F48">
    <cfRule type="cellIs" priority="103" dxfId="0" operator="equal" stopIfTrue="1">
      <formula>0</formula>
    </cfRule>
  </conditionalFormatting>
  <conditionalFormatting sqref="E55:F55">
    <cfRule type="cellIs" priority="102" dxfId="0" operator="equal" stopIfTrue="1">
      <formula>0</formula>
    </cfRule>
  </conditionalFormatting>
  <conditionalFormatting sqref="E62:F62">
    <cfRule type="cellIs" priority="101" dxfId="0" operator="equal" stopIfTrue="1">
      <formula>0</formula>
    </cfRule>
  </conditionalFormatting>
  <conditionalFormatting sqref="E69:F69">
    <cfRule type="cellIs" priority="100" dxfId="0" operator="equal" stopIfTrue="1">
      <formula>0</formula>
    </cfRule>
  </conditionalFormatting>
  <conditionalFormatting sqref="E76:F76">
    <cfRule type="cellIs" priority="99" dxfId="0" operator="equal" stopIfTrue="1">
      <formula>0</formula>
    </cfRule>
  </conditionalFormatting>
  <conditionalFormatting sqref="E83:F83">
    <cfRule type="cellIs" priority="98" dxfId="0" operator="equal" stopIfTrue="1">
      <formula>0</formula>
    </cfRule>
  </conditionalFormatting>
  <conditionalFormatting sqref="E90:F90">
    <cfRule type="cellIs" priority="97" dxfId="0" operator="equal" stopIfTrue="1">
      <formula>0</formula>
    </cfRule>
  </conditionalFormatting>
  <conditionalFormatting sqref="E97:F97">
    <cfRule type="cellIs" priority="96" dxfId="0" operator="equal" stopIfTrue="1">
      <formula>0</formula>
    </cfRule>
  </conditionalFormatting>
  <conditionalFormatting sqref="E104:F104">
    <cfRule type="cellIs" priority="95" dxfId="0" operator="equal" stopIfTrue="1">
      <formula>0</formula>
    </cfRule>
  </conditionalFormatting>
  <conditionalFormatting sqref="E111:F111">
    <cfRule type="cellIs" priority="94" dxfId="0" operator="equal" stopIfTrue="1">
      <formula>0</formula>
    </cfRule>
  </conditionalFormatting>
  <conditionalFormatting sqref="E118:F118">
    <cfRule type="cellIs" priority="93" dxfId="0" operator="equal" stopIfTrue="1">
      <formula>0</formula>
    </cfRule>
  </conditionalFormatting>
  <conditionalFormatting sqref="E125:F125">
    <cfRule type="cellIs" priority="92" dxfId="0" operator="equal" stopIfTrue="1">
      <formula>0</formula>
    </cfRule>
  </conditionalFormatting>
  <conditionalFormatting sqref="E132:F132">
    <cfRule type="cellIs" priority="91" dxfId="0" operator="equal" stopIfTrue="1">
      <formula>0</formula>
    </cfRule>
  </conditionalFormatting>
  <conditionalFormatting sqref="E139:F139">
    <cfRule type="cellIs" priority="90" dxfId="0" operator="equal" stopIfTrue="1">
      <formula>0</formula>
    </cfRule>
  </conditionalFormatting>
  <conditionalFormatting sqref="E146:F146">
    <cfRule type="cellIs" priority="89" dxfId="0" operator="equal" stopIfTrue="1">
      <formula>0</formula>
    </cfRule>
  </conditionalFormatting>
  <conditionalFormatting sqref="E153:F153">
    <cfRule type="cellIs" priority="88" dxfId="0" operator="equal" stopIfTrue="1">
      <formula>0</formula>
    </cfRule>
  </conditionalFormatting>
  <conditionalFormatting sqref="E159:F159">
    <cfRule type="cellIs" priority="87" dxfId="0" operator="equal" stopIfTrue="1">
      <formula>0</formula>
    </cfRule>
  </conditionalFormatting>
  <conditionalFormatting sqref="E166:F166">
    <cfRule type="cellIs" priority="86" dxfId="0" operator="equal" stopIfTrue="1">
      <formula>0</formula>
    </cfRule>
  </conditionalFormatting>
  <conditionalFormatting sqref="E173:F173">
    <cfRule type="cellIs" priority="85" dxfId="0" operator="equal" stopIfTrue="1">
      <formula>0</formula>
    </cfRule>
  </conditionalFormatting>
  <conditionalFormatting sqref="E180:F180">
    <cfRule type="cellIs" priority="84" dxfId="0" operator="equal" stopIfTrue="1">
      <formula>0</formula>
    </cfRule>
  </conditionalFormatting>
  <conditionalFormatting sqref="E187:F187">
    <cfRule type="cellIs" priority="83" dxfId="0" operator="equal" stopIfTrue="1">
      <formula>0</formula>
    </cfRule>
  </conditionalFormatting>
  <conditionalFormatting sqref="E194:F194">
    <cfRule type="cellIs" priority="82" dxfId="0" operator="equal" stopIfTrue="1">
      <formula>0</formula>
    </cfRule>
  </conditionalFormatting>
  <conditionalFormatting sqref="E201:F201">
    <cfRule type="cellIs" priority="81" dxfId="0" operator="equal" stopIfTrue="1">
      <formula>0</formula>
    </cfRule>
  </conditionalFormatting>
  <conditionalFormatting sqref="E208:F208">
    <cfRule type="cellIs" priority="80" dxfId="0" operator="equal" stopIfTrue="1">
      <formula>0</formula>
    </cfRule>
  </conditionalFormatting>
  <conditionalFormatting sqref="E215:F215">
    <cfRule type="cellIs" priority="79" dxfId="0" operator="equal" stopIfTrue="1">
      <formula>0</formula>
    </cfRule>
  </conditionalFormatting>
  <conditionalFormatting sqref="E222:F222">
    <cfRule type="cellIs" priority="78" dxfId="0" operator="equal" stopIfTrue="1">
      <formula>0</formula>
    </cfRule>
  </conditionalFormatting>
  <conditionalFormatting sqref="E229:F229">
    <cfRule type="cellIs" priority="77" dxfId="0" operator="equal" stopIfTrue="1">
      <formula>0</formula>
    </cfRule>
  </conditionalFormatting>
  <conditionalFormatting sqref="E236:F236">
    <cfRule type="cellIs" priority="30" dxfId="0" operator="equal" stopIfTrue="1">
      <formula>0</formula>
    </cfRule>
  </conditionalFormatting>
  <conditionalFormatting sqref="E243:F243">
    <cfRule type="cellIs" priority="29" dxfId="0" operator="equal" stopIfTrue="1">
      <formula>0</formula>
    </cfRule>
  </conditionalFormatting>
  <conditionalFormatting sqref="E250:F250">
    <cfRule type="cellIs" priority="28" dxfId="0" operator="equal" stopIfTrue="1">
      <formula>0</formula>
    </cfRule>
  </conditionalFormatting>
  <conditionalFormatting sqref="E257:F257">
    <cfRule type="cellIs" priority="22" dxfId="0" operator="equal" stopIfTrue="1">
      <formula>0</formula>
    </cfRule>
  </conditionalFormatting>
  <conditionalFormatting sqref="E295:F295">
    <cfRule type="cellIs" priority="12" dxfId="0" operator="equal" stopIfTrue="1">
      <formula>0</formula>
    </cfRule>
  </conditionalFormatting>
  <conditionalFormatting sqref="E341:F341">
    <cfRule type="cellIs" priority="11" dxfId="0" operator="equal" stopIfTrue="1">
      <formula>0</formula>
    </cfRule>
  </conditionalFormatting>
  <conditionalFormatting sqref="E348:F348">
    <cfRule type="cellIs" priority="10" dxfId="0" operator="equal" stopIfTrue="1">
      <formula>0</formula>
    </cfRule>
  </conditionalFormatting>
  <conditionalFormatting sqref="E355:F355">
    <cfRule type="cellIs" priority="9" dxfId="0" operator="equal" stopIfTrue="1">
      <formula>0</formula>
    </cfRule>
  </conditionalFormatting>
  <conditionalFormatting sqref="E362:F362">
    <cfRule type="cellIs" priority="8" dxfId="0" operator="equal" stopIfTrue="1">
      <formula>0</formula>
    </cfRule>
  </conditionalFormatting>
  <conditionalFormatting sqref="E369:F369">
    <cfRule type="cellIs" priority="7" dxfId="0" operator="equal" stopIfTrue="1">
      <formula>0</formula>
    </cfRule>
  </conditionalFormatting>
  <conditionalFormatting sqref="E376:F376">
    <cfRule type="cellIs" priority="6" dxfId="0" operator="equal" stopIfTrue="1">
      <formula>0</formula>
    </cfRule>
  </conditionalFormatting>
  <conditionalFormatting sqref="E383:F383">
    <cfRule type="cellIs" priority="5" dxfId="0" operator="equal" stopIfTrue="1">
      <formula>0</formula>
    </cfRule>
  </conditionalFormatting>
  <conditionalFormatting sqref="E390:F390">
    <cfRule type="cellIs" priority="4" dxfId="0" operator="equal" stopIfTrue="1">
      <formula>0</formula>
    </cfRule>
  </conditionalFormatting>
  <conditionalFormatting sqref="E397:F397">
    <cfRule type="cellIs" priority="3" dxfId="0" operator="equal" stopIfTrue="1">
      <formula>0</formula>
    </cfRule>
  </conditionalFormatting>
  <conditionalFormatting sqref="E404:F404">
    <cfRule type="cellIs" priority="2" dxfId="0" operator="equal" stopIfTrue="1">
      <formula>0</formula>
    </cfRule>
  </conditionalFormatting>
  <conditionalFormatting sqref="E411:F411">
    <cfRule type="cellIs" priority="1" dxfId="0" operator="equal" stopIfTrue="1">
      <formula>0</formula>
    </cfRule>
  </conditionalFormatting>
  <printOptions/>
  <pageMargins left="0.511811024" right="0.511811024" top="0.787401575" bottom="0.787401575" header="0.31496062" footer="0.3149606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91"/>
  <sheetViews>
    <sheetView view="pageBreakPreview" zoomScale="80" zoomScaleSheetLayoutView="80" zoomScalePageLayoutView="0" workbookViewId="0" topLeftCell="A1">
      <selection activeCell="C15" sqref="C15"/>
    </sheetView>
  </sheetViews>
  <sheetFormatPr defaultColWidth="9.140625" defaultRowHeight="12.75"/>
  <cols>
    <col min="1" max="1" width="13.8515625" style="37" bestFit="1" customWidth="1"/>
    <col min="2" max="2" width="16.7109375" style="80" bestFit="1" customWidth="1"/>
    <col min="3" max="3" width="78.57421875" style="37" customWidth="1"/>
    <col min="4" max="4" width="11.28125" style="37" bestFit="1" customWidth="1"/>
    <col min="5" max="5" width="15.140625" style="37" bestFit="1" customWidth="1"/>
    <col min="6" max="6" width="16.8515625" style="81" customWidth="1"/>
    <col min="7" max="7" width="19.00390625" style="81" bestFit="1" customWidth="1"/>
    <col min="8" max="8" width="9.140625" style="37" customWidth="1"/>
    <col min="9" max="9" width="9.8515625" style="37" bestFit="1" customWidth="1"/>
    <col min="10" max="16384" width="9.140625" style="37" customWidth="1"/>
  </cols>
  <sheetData>
    <row r="1" spans="1:7" ht="14.25">
      <c r="A1" s="533" t="s">
        <v>95</v>
      </c>
      <c r="B1" s="534"/>
      <c r="C1" s="534"/>
      <c r="D1" s="534"/>
      <c r="E1" s="534"/>
      <c r="F1" s="534"/>
      <c r="G1" s="534"/>
    </row>
    <row r="2" spans="1:7" ht="14.25">
      <c r="A2" s="38" t="str">
        <f>'QUADRO RESUMO'!A3</f>
        <v>OBRA:</v>
      </c>
      <c r="B2" s="535" t="str">
        <f>'QUADRO RESUMO'!C3</f>
        <v>CENTRO INTEGRADO DE PESQUISAS DE HISTÓRIA E FRONTEIRA</v>
      </c>
      <c r="C2" s="535"/>
      <c r="D2" s="86"/>
      <c r="E2" s="86"/>
      <c r="F2" s="86"/>
      <c r="G2" s="86"/>
    </row>
    <row r="3" spans="1:7" ht="14.25">
      <c r="A3" s="39" t="str">
        <f>'QUADRO RESUMO'!A4</f>
        <v>ENDEREÇO:</v>
      </c>
      <c r="B3" s="532" t="str">
        <f>'QUADRO RESUMO'!C4</f>
        <v>AVENIDA SANTOS DUMONT, S/N - BAIRRO DNER - CIDADE UNIVERSITÁRIA (AEROPORTO ANTIGO)</v>
      </c>
      <c r="C3" s="532"/>
      <c r="D3" s="86"/>
      <c r="E3" s="86"/>
      <c r="F3" s="83" t="e">
        <f>#REF!</f>
        <v>#REF!</v>
      </c>
      <c r="G3" s="84">
        <f>'QUADRO RESUMO'!E4</f>
        <v>42265</v>
      </c>
    </row>
    <row r="4" spans="1:7" ht="14.25">
      <c r="A4" s="39" t="str">
        <f>'QUADRO RESUMO'!A5</f>
        <v>MUNICÍPIO:</v>
      </c>
      <c r="B4" s="532" t="str">
        <f>'QUADRO RESUMO'!B5</f>
        <v>CÁCERES-MT</v>
      </c>
      <c r="C4" s="532"/>
      <c r="D4" s="86"/>
      <c r="E4" s="86"/>
      <c r="F4" s="40"/>
      <c r="G4" s="40"/>
    </row>
    <row r="5" spans="1:7" ht="14.25">
      <c r="A5" s="41"/>
      <c r="B5" s="42"/>
      <c r="C5" s="43"/>
      <c r="D5" s="86"/>
      <c r="E5" s="86"/>
      <c r="F5" s="40"/>
      <c r="G5" s="40"/>
    </row>
    <row r="6" spans="1:7" s="109" customFormat="1" ht="28.5">
      <c r="A6" s="44" t="s">
        <v>37</v>
      </c>
      <c r="B6" s="44" t="s">
        <v>364</v>
      </c>
      <c r="C6" s="44" t="s">
        <v>30</v>
      </c>
      <c r="D6" s="45" t="s">
        <v>31</v>
      </c>
      <c r="E6" s="45" t="s">
        <v>32</v>
      </c>
      <c r="F6" s="87" t="s">
        <v>33</v>
      </c>
      <c r="G6" s="87" t="s">
        <v>34</v>
      </c>
    </row>
    <row r="7" spans="1:7" s="109" customFormat="1" ht="14.25">
      <c r="A7" s="531" t="e">
        <f>#REF!</f>
        <v>#REF!</v>
      </c>
      <c r="B7" s="55"/>
      <c r="C7" s="56" t="s">
        <v>192</v>
      </c>
      <c r="D7" s="58" t="s">
        <v>98</v>
      </c>
      <c r="E7" s="124">
        <v>12.65</v>
      </c>
      <c r="F7" s="88"/>
      <c r="G7" s="89"/>
    </row>
    <row r="8" spans="1:7" s="109" customFormat="1" ht="30.75" customHeight="1">
      <c r="A8" s="531"/>
      <c r="B8" s="125" t="s">
        <v>315</v>
      </c>
      <c r="C8" s="126" t="s">
        <v>316</v>
      </c>
      <c r="D8" s="125" t="s">
        <v>123</v>
      </c>
      <c r="E8" s="127">
        <v>6.6</v>
      </c>
      <c r="F8" s="128">
        <v>28.16</v>
      </c>
      <c r="G8" s="129">
        <f>E8*F8</f>
        <v>185.856</v>
      </c>
    </row>
    <row r="9" spans="1:7" s="109" customFormat="1" ht="14.25">
      <c r="A9" s="531"/>
      <c r="B9" s="125" t="s">
        <v>195</v>
      </c>
      <c r="C9" s="126" t="s">
        <v>196</v>
      </c>
      <c r="D9" s="125" t="s">
        <v>197</v>
      </c>
      <c r="E9" s="127">
        <v>0.33</v>
      </c>
      <c r="F9" s="128">
        <v>10.56</v>
      </c>
      <c r="G9" s="129">
        <f aca="true" t="shared" si="0" ref="G9:G23">E9*F9</f>
        <v>3.4848000000000003</v>
      </c>
    </row>
    <row r="10" spans="1:7" s="109" customFormat="1" ht="27.75">
      <c r="A10" s="531"/>
      <c r="B10" s="125" t="s">
        <v>198</v>
      </c>
      <c r="C10" s="130" t="s">
        <v>199</v>
      </c>
      <c r="D10" s="125" t="s">
        <v>123</v>
      </c>
      <c r="E10" s="124">
        <v>0.66</v>
      </c>
      <c r="F10" s="128">
        <v>107.76</v>
      </c>
      <c r="G10" s="129">
        <f t="shared" si="0"/>
        <v>71.1216</v>
      </c>
    </row>
    <row r="11" spans="1:7" s="109" customFormat="1" ht="27.75" customHeight="1">
      <c r="A11" s="531"/>
      <c r="B11" s="125" t="s">
        <v>200</v>
      </c>
      <c r="C11" s="130" t="s">
        <v>201</v>
      </c>
      <c r="D11" s="125" t="s">
        <v>123</v>
      </c>
      <c r="E11" s="124">
        <v>8.2</v>
      </c>
      <c r="F11" s="128">
        <v>247.21</v>
      </c>
      <c r="G11" s="129">
        <f t="shared" si="0"/>
        <v>2027.1219999999998</v>
      </c>
    </row>
    <row r="12" spans="1:7" s="109" customFormat="1" ht="14.25">
      <c r="A12" s="531"/>
      <c r="B12" s="125" t="s">
        <v>202</v>
      </c>
      <c r="C12" s="130" t="s">
        <v>203</v>
      </c>
      <c r="D12" s="125" t="s">
        <v>197</v>
      </c>
      <c r="E12" s="131">
        <v>52.16</v>
      </c>
      <c r="F12" s="128">
        <v>44.63</v>
      </c>
      <c r="G12" s="129">
        <f t="shared" si="0"/>
        <v>2327.9008</v>
      </c>
    </row>
    <row r="13" spans="1:7" s="109" customFormat="1" ht="27.75">
      <c r="A13" s="531"/>
      <c r="B13" s="132" t="s">
        <v>204</v>
      </c>
      <c r="C13" s="133" t="s">
        <v>205</v>
      </c>
      <c r="D13" s="125" t="s">
        <v>28</v>
      </c>
      <c r="E13" s="131">
        <v>17.26</v>
      </c>
      <c r="F13" s="134">
        <v>6.65</v>
      </c>
      <c r="G13" s="129">
        <f t="shared" si="0"/>
        <v>114.77900000000001</v>
      </c>
    </row>
    <row r="14" spans="1:7" s="109" customFormat="1" ht="30" customHeight="1">
      <c r="A14" s="531"/>
      <c r="B14" s="132" t="s">
        <v>206</v>
      </c>
      <c r="C14" s="133" t="s">
        <v>207</v>
      </c>
      <c r="D14" s="125" t="s">
        <v>123</v>
      </c>
      <c r="E14" s="131">
        <v>0.79</v>
      </c>
      <c r="F14" s="134">
        <v>261.74</v>
      </c>
      <c r="G14" s="129">
        <f t="shared" si="0"/>
        <v>206.77460000000002</v>
      </c>
    </row>
    <row r="15" spans="1:7" s="109" customFormat="1" ht="58.5" customHeight="1">
      <c r="A15" s="531"/>
      <c r="B15" s="125" t="s">
        <v>208</v>
      </c>
      <c r="C15" s="126" t="s">
        <v>209</v>
      </c>
      <c r="D15" s="125" t="s">
        <v>197</v>
      </c>
      <c r="E15" s="127">
        <v>21.33</v>
      </c>
      <c r="F15" s="128">
        <v>44.21</v>
      </c>
      <c r="G15" s="129">
        <f t="shared" si="0"/>
        <v>942.9993</v>
      </c>
    </row>
    <row r="16" spans="1:7" s="109" customFormat="1" ht="29.25" customHeight="1">
      <c r="A16" s="531"/>
      <c r="B16" s="125" t="s">
        <v>210</v>
      </c>
      <c r="C16" s="130" t="s">
        <v>211</v>
      </c>
      <c r="D16" s="125" t="s">
        <v>197</v>
      </c>
      <c r="E16" s="127">
        <v>21.33</v>
      </c>
      <c r="F16" s="128">
        <v>3.21</v>
      </c>
      <c r="G16" s="129">
        <f t="shared" si="0"/>
        <v>68.46929999999999</v>
      </c>
    </row>
    <row r="17" spans="1:7" s="109" customFormat="1" ht="30" customHeight="1">
      <c r="A17" s="531"/>
      <c r="B17" s="125" t="s">
        <v>212</v>
      </c>
      <c r="C17" s="126" t="s">
        <v>213</v>
      </c>
      <c r="D17" s="125" t="s">
        <v>197</v>
      </c>
      <c r="E17" s="127">
        <v>21.33</v>
      </c>
      <c r="F17" s="128">
        <v>10.97</v>
      </c>
      <c r="G17" s="129">
        <f t="shared" si="0"/>
        <v>233.99009999999998</v>
      </c>
    </row>
    <row r="18" spans="1:7" s="109" customFormat="1" ht="30" customHeight="1">
      <c r="A18" s="531"/>
      <c r="B18" s="128" t="s">
        <v>169</v>
      </c>
      <c r="C18" s="130" t="s">
        <v>214</v>
      </c>
      <c r="D18" s="128" t="s">
        <v>197</v>
      </c>
      <c r="E18" s="135">
        <v>27.93</v>
      </c>
      <c r="F18" s="128">
        <v>5.96</v>
      </c>
      <c r="G18" s="129">
        <f t="shared" si="0"/>
        <v>166.4628</v>
      </c>
    </row>
    <row r="19" spans="1:7" s="109" customFormat="1" ht="14.25">
      <c r="A19" s="531"/>
      <c r="B19" s="136" t="s">
        <v>215</v>
      </c>
      <c r="C19" s="137" t="s">
        <v>216</v>
      </c>
      <c r="D19" s="136" t="s">
        <v>123</v>
      </c>
      <c r="E19" s="138">
        <v>1.2</v>
      </c>
      <c r="F19" s="136">
        <v>27.88</v>
      </c>
      <c r="G19" s="129">
        <f t="shared" si="0"/>
        <v>33.455999999999996</v>
      </c>
    </row>
    <row r="20" spans="1:7" s="109" customFormat="1" ht="28.5">
      <c r="A20" s="531"/>
      <c r="B20" s="136" t="s">
        <v>217</v>
      </c>
      <c r="C20" s="139" t="s">
        <v>218</v>
      </c>
      <c r="D20" s="136" t="s">
        <v>21</v>
      </c>
      <c r="E20" s="140">
        <v>6</v>
      </c>
      <c r="F20" s="141">
        <v>16.76</v>
      </c>
      <c r="G20" s="129">
        <f t="shared" si="0"/>
        <v>100.56</v>
      </c>
    </row>
    <row r="21" spans="1:7" s="109" customFormat="1" ht="14.25">
      <c r="A21" s="531"/>
      <c r="B21" s="136" t="s">
        <v>219</v>
      </c>
      <c r="C21" s="139" t="s">
        <v>220</v>
      </c>
      <c r="D21" s="136" t="s">
        <v>20</v>
      </c>
      <c r="E21" s="140">
        <v>2</v>
      </c>
      <c r="F21" s="141">
        <v>24.14</v>
      </c>
      <c r="G21" s="129">
        <f t="shared" si="0"/>
        <v>48.28</v>
      </c>
    </row>
    <row r="22" spans="1:7" s="109" customFormat="1" ht="14.25">
      <c r="A22" s="531"/>
      <c r="B22" s="136" t="s">
        <v>221</v>
      </c>
      <c r="C22" s="139" t="s">
        <v>222</v>
      </c>
      <c r="D22" s="136" t="s">
        <v>20</v>
      </c>
      <c r="E22" s="140">
        <v>2</v>
      </c>
      <c r="F22" s="141">
        <v>9.73</v>
      </c>
      <c r="G22" s="129">
        <f t="shared" si="0"/>
        <v>19.46</v>
      </c>
    </row>
    <row r="23" spans="1:7" s="109" customFormat="1" ht="27.75">
      <c r="A23" s="531"/>
      <c r="B23" s="142" t="s">
        <v>223</v>
      </c>
      <c r="C23" s="143" t="s">
        <v>224</v>
      </c>
      <c r="D23" s="136" t="s">
        <v>20</v>
      </c>
      <c r="E23" s="144">
        <v>2</v>
      </c>
      <c r="F23" s="142">
        <v>180.55</v>
      </c>
      <c r="G23" s="129">
        <f t="shared" si="0"/>
        <v>361.1</v>
      </c>
    </row>
    <row r="24" spans="1:7" s="109" customFormat="1" ht="14.25">
      <c r="A24" s="91"/>
      <c r="B24" s="91"/>
      <c r="C24" s="92"/>
      <c r="D24" s="93"/>
      <c r="E24" s="94"/>
      <c r="F24" s="90" t="s">
        <v>35</v>
      </c>
      <c r="G24" s="90">
        <f>SUM(G7:G23)</f>
        <v>6911.8163</v>
      </c>
    </row>
    <row r="25" spans="1:7" s="109" customFormat="1" ht="14.25">
      <c r="A25" s="91"/>
      <c r="B25" s="91"/>
      <c r="C25" s="92"/>
      <c r="D25" s="93"/>
      <c r="E25" s="94"/>
      <c r="F25" s="91"/>
      <c r="G25" s="91"/>
    </row>
    <row r="26" spans="1:7" s="109" customFormat="1" ht="14.25">
      <c r="A26" s="91"/>
      <c r="B26" s="91"/>
      <c r="C26" s="92"/>
      <c r="D26" s="93"/>
      <c r="E26" s="94"/>
      <c r="F26" s="91"/>
      <c r="G26" s="91"/>
    </row>
    <row r="27" spans="1:7" s="109" customFormat="1" ht="28.5">
      <c r="A27" s="44" t="s">
        <v>37</v>
      </c>
      <c r="B27" s="44" t="s">
        <v>364</v>
      </c>
      <c r="C27" s="44" t="s">
        <v>30</v>
      </c>
      <c r="D27" s="45" t="s">
        <v>31</v>
      </c>
      <c r="E27" s="45" t="s">
        <v>32</v>
      </c>
      <c r="F27" s="87" t="s">
        <v>33</v>
      </c>
      <c r="G27" s="87" t="s">
        <v>34</v>
      </c>
    </row>
    <row r="28" spans="1:7" s="109" customFormat="1" ht="14.25">
      <c r="A28" s="531" t="e">
        <f>#REF!</f>
        <v>#REF!</v>
      </c>
      <c r="B28" s="117"/>
      <c r="C28" s="56" t="s">
        <v>225</v>
      </c>
      <c r="D28" s="58"/>
      <c r="E28" s="145">
        <v>14.89</v>
      </c>
      <c r="F28" s="59"/>
      <c r="G28" s="89"/>
    </row>
    <row r="29" spans="1:7" s="109" customFormat="1" ht="29.25" customHeight="1">
      <c r="A29" s="531"/>
      <c r="B29" s="146" t="s">
        <v>193</v>
      </c>
      <c r="C29" s="126" t="s">
        <v>194</v>
      </c>
      <c r="D29" s="125" t="s">
        <v>123</v>
      </c>
      <c r="E29" s="147">
        <v>7.84</v>
      </c>
      <c r="F29" s="128">
        <v>31.68</v>
      </c>
      <c r="G29" s="148">
        <f>E29*F29</f>
        <v>248.3712</v>
      </c>
    </row>
    <row r="30" spans="1:7" s="109" customFormat="1" ht="14.25">
      <c r="A30" s="531"/>
      <c r="B30" s="146" t="s">
        <v>195</v>
      </c>
      <c r="C30" s="126" t="s">
        <v>196</v>
      </c>
      <c r="D30" s="125" t="s">
        <v>197</v>
      </c>
      <c r="E30" s="147">
        <v>0.36</v>
      </c>
      <c r="F30" s="128">
        <v>10.56</v>
      </c>
      <c r="G30" s="148">
        <f aca="true" t="shared" si="1" ref="G30:G41">E30*F30</f>
        <v>3.8016</v>
      </c>
    </row>
    <row r="31" spans="1:7" s="109" customFormat="1" ht="27.75">
      <c r="A31" s="531"/>
      <c r="B31" s="146" t="s">
        <v>198</v>
      </c>
      <c r="C31" s="130" t="s">
        <v>199</v>
      </c>
      <c r="D31" s="125" t="s">
        <v>123</v>
      </c>
      <c r="E31" s="145">
        <v>0.729</v>
      </c>
      <c r="F31" s="128">
        <v>107.76</v>
      </c>
      <c r="G31" s="148">
        <f t="shared" si="1"/>
        <v>78.55704</v>
      </c>
    </row>
    <row r="32" spans="1:7" s="109" customFormat="1" ht="27.75">
      <c r="A32" s="531"/>
      <c r="B32" s="146" t="s">
        <v>200</v>
      </c>
      <c r="C32" s="130" t="s">
        <v>201</v>
      </c>
      <c r="D32" s="125" t="s">
        <v>123</v>
      </c>
      <c r="E32" s="145">
        <v>15.68</v>
      </c>
      <c r="F32" s="128">
        <v>247.21</v>
      </c>
      <c r="G32" s="148">
        <f t="shared" si="1"/>
        <v>3876.2528</v>
      </c>
    </row>
    <row r="33" spans="1:7" s="109" customFormat="1" ht="14.25">
      <c r="A33" s="531"/>
      <c r="B33" s="146" t="s">
        <v>202</v>
      </c>
      <c r="C33" s="130" t="s">
        <v>203</v>
      </c>
      <c r="D33" s="125" t="s">
        <v>197</v>
      </c>
      <c r="E33" s="149">
        <v>136.8</v>
      </c>
      <c r="F33" s="128">
        <v>44.63</v>
      </c>
      <c r="G33" s="148">
        <f t="shared" si="1"/>
        <v>6105.384000000001</v>
      </c>
    </row>
    <row r="34" spans="1:7" s="109" customFormat="1" ht="27.75">
      <c r="A34" s="531"/>
      <c r="B34" s="150" t="s">
        <v>204</v>
      </c>
      <c r="C34" s="133" t="s">
        <v>205</v>
      </c>
      <c r="D34" s="125" t="s">
        <v>28</v>
      </c>
      <c r="E34" s="149">
        <v>17.24</v>
      </c>
      <c r="F34" s="134">
        <v>6.65</v>
      </c>
      <c r="G34" s="148">
        <f t="shared" si="1"/>
        <v>114.646</v>
      </c>
    </row>
    <row r="35" spans="1:7" s="109" customFormat="1" ht="30" customHeight="1">
      <c r="A35" s="531"/>
      <c r="B35" s="150" t="s">
        <v>206</v>
      </c>
      <c r="C35" s="133" t="s">
        <v>207</v>
      </c>
      <c r="D35" s="125" t="s">
        <v>123</v>
      </c>
      <c r="E35" s="149">
        <v>1.42</v>
      </c>
      <c r="F35" s="134">
        <v>261.74</v>
      </c>
      <c r="G35" s="148">
        <f t="shared" si="1"/>
        <v>371.6708</v>
      </c>
    </row>
    <row r="36" spans="1:7" s="109" customFormat="1" ht="54.75" customHeight="1">
      <c r="A36" s="531"/>
      <c r="B36" s="146" t="s">
        <v>226</v>
      </c>
      <c r="C36" s="126" t="s">
        <v>227</v>
      </c>
      <c r="D36" s="125" t="s">
        <v>197</v>
      </c>
      <c r="E36" s="147">
        <v>14.89</v>
      </c>
      <c r="F36" s="128">
        <v>44.99</v>
      </c>
      <c r="G36" s="148">
        <f t="shared" si="1"/>
        <v>669.9011</v>
      </c>
    </row>
    <row r="37" spans="1:7" s="109" customFormat="1" ht="27.75" customHeight="1">
      <c r="A37" s="531"/>
      <c r="B37" s="146" t="s">
        <v>210</v>
      </c>
      <c r="C37" s="130" t="s">
        <v>211</v>
      </c>
      <c r="D37" s="125" t="s">
        <v>197</v>
      </c>
      <c r="E37" s="147">
        <v>14.89</v>
      </c>
      <c r="F37" s="128">
        <v>3.21</v>
      </c>
      <c r="G37" s="148">
        <f t="shared" si="1"/>
        <v>47.7969</v>
      </c>
    </row>
    <row r="38" spans="1:7" s="109" customFormat="1" ht="29.25" customHeight="1">
      <c r="A38" s="531"/>
      <c r="B38" s="146" t="s">
        <v>212</v>
      </c>
      <c r="C38" s="126" t="s">
        <v>213</v>
      </c>
      <c r="D38" s="125" t="s">
        <v>197</v>
      </c>
      <c r="E38" s="147">
        <v>14.89</v>
      </c>
      <c r="F38" s="128">
        <v>10.97</v>
      </c>
      <c r="G38" s="148">
        <f t="shared" si="1"/>
        <v>163.34330000000003</v>
      </c>
    </row>
    <row r="39" spans="1:7" s="109" customFormat="1" ht="27.75" customHeight="1">
      <c r="A39" s="531"/>
      <c r="B39" s="151" t="s">
        <v>169</v>
      </c>
      <c r="C39" s="130" t="s">
        <v>214</v>
      </c>
      <c r="D39" s="128" t="s">
        <v>197</v>
      </c>
      <c r="E39" s="152">
        <v>22.18</v>
      </c>
      <c r="F39" s="128">
        <v>5.96</v>
      </c>
      <c r="G39" s="148">
        <f t="shared" si="1"/>
        <v>132.1928</v>
      </c>
    </row>
    <row r="40" spans="1:7" s="109" customFormat="1" ht="14.25">
      <c r="A40" s="531"/>
      <c r="B40" s="153" t="s">
        <v>215</v>
      </c>
      <c r="C40" s="137" t="s">
        <v>216</v>
      </c>
      <c r="D40" s="136" t="s">
        <v>123</v>
      </c>
      <c r="E40" s="154">
        <v>1.1</v>
      </c>
      <c r="F40" s="136">
        <v>27.88</v>
      </c>
      <c r="G40" s="148">
        <f t="shared" si="1"/>
        <v>30.668000000000003</v>
      </c>
    </row>
    <row r="41" spans="1:7" s="109" customFormat="1" ht="28.5">
      <c r="A41" s="531"/>
      <c r="B41" s="153" t="s">
        <v>217</v>
      </c>
      <c r="C41" s="139" t="s">
        <v>218</v>
      </c>
      <c r="D41" s="136" t="s">
        <v>21</v>
      </c>
      <c r="E41" s="155">
        <v>6</v>
      </c>
      <c r="F41" s="141">
        <v>16.76</v>
      </c>
      <c r="G41" s="148">
        <f t="shared" si="1"/>
        <v>100.56</v>
      </c>
    </row>
    <row r="42" spans="1:7" s="109" customFormat="1" ht="14.25">
      <c r="A42" s="531"/>
      <c r="B42" s="151" t="s">
        <v>228</v>
      </c>
      <c r="C42" s="156" t="s">
        <v>229</v>
      </c>
      <c r="D42" s="136" t="s">
        <v>78</v>
      </c>
      <c r="E42" s="157">
        <v>4</v>
      </c>
      <c r="F42" s="158">
        <v>96.48</v>
      </c>
      <c r="G42" s="148">
        <f>F42*E42</f>
        <v>385.92</v>
      </c>
    </row>
    <row r="43" spans="1:7" s="109" customFormat="1" ht="14.25">
      <c r="A43" s="531"/>
      <c r="B43" s="118" t="s">
        <v>230</v>
      </c>
      <c r="C43" s="95" t="s">
        <v>231</v>
      </c>
      <c r="D43" s="159" t="s">
        <v>20</v>
      </c>
      <c r="E43" s="160">
        <v>2</v>
      </c>
      <c r="F43" s="161">
        <v>15.45</v>
      </c>
      <c r="G43" s="162">
        <f>E43*F43</f>
        <v>30.9</v>
      </c>
    </row>
    <row r="44" spans="1:7" s="109" customFormat="1" ht="27.75">
      <c r="A44" s="531"/>
      <c r="B44" s="163" t="s">
        <v>223</v>
      </c>
      <c r="C44" s="143" t="s">
        <v>224</v>
      </c>
      <c r="D44" s="136" t="s">
        <v>20</v>
      </c>
      <c r="E44" s="141">
        <v>2</v>
      </c>
      <c r="F44" s="142">
        <v>180.55</v>
      </c>
      <c r="G44" s="129">
        <f>E44*F44</f>
        <v>361.1</v>
      </c>
    </row>
    <row r="45" spans="1:7" s="109" customFormat="1" ht="14.25">
      <c r="A45" s="91"/>
      <c r="B45" s="91"/>
      <c r="C45" s="92"/>
      <c r="D45" s="93"/>
      <c r="E45" s="94"/>
      <c r="F45" s="90" t="s">
        <v>35</v>
      </c>
      <c r="G45" s="90">
        <f>SUM(G28:G44)</f>
        <v>12721.06554</v>
      </c>
    </row>
    <row r="46" spans="1:7" s="109" customFormat="1" ht="14.25">
      <c r="A46" s="91"/>
      <c r="B46" s="91"/>
      <c r="C46" s="92"/>
      <c r="D46" s="93"/>
      <c r="E46" s="94"/>
      <c r="F46" s="91"/>
      <c r="G46" s="91"/>
    </row>
    <row r="47" spans="1:7" s="109" customFormat="1" ht="14.25">
      <c r="A47" s="91"/>
      <c r="B47" s="51"/>
      <c r="C47" s="51"/>
      <c r="D47" s="51"/>
      <c r="E47" s="51"/>
      <c r="F47" s="91"/>
      <c r="G47" s="91"/>
    </row>
    <row r="48" spans="1:7" s="109" customFormat="1" ht="28.5">
      <c r="A48" s="44" t="s">
        <v>37</v>
      </c>
      <c r="B48" s="44" t="s">
        <v>364</v>
      </c>
      <c r="C48" s="44" t="s">
        <v>30</v>
      </c>
      <c r="D48" s="45" t="s">
        <v>31</v>
      </c>
      <c r="E48" s="45" t="s">
        <v>32</v>
      </c>
      <c r="F48" s="87" t="s">
        <v>33</v>
      </c>
      <c r="G48" s="87" t="s">
        <v>34</v>
      </c>
    </row>
    <row r="49" spans="1:7" s="109" customFormat="1" ht="14.25">
      <c r="A49" s="531" t="e">
        <f>#REF!</f>
        <v>#REF!</v>
      </c>
      <c r="B49" s="55"/>
      <c r="C49" s="56" t="s">
        <v>232</v>
      </c>
      <c r="D49" s="58"/>
      <c r="E49" s="59"/>
      <c r="F49" s="59"/>
      <c r="G49" s="89"/>
    </row>
    <row r="50" spans="1:7" s="109" customFormat="1" ht="77.25" customHeight="1">
      <c r="A50" s="531"/>
      <c r="B50" s="125" t="s">
        <v>226</v>
      </c>
      <c r="C50" s="126" t="s">
        <v>227</v>
      </c>
      <c r="D50" s="125" t="s">
        <v>197</v>
      </c>
      <c r="E50" s="128">
        <v>24.74</v>
      </c>
      <c r="F50" s="164">
        <v>19.44</v>
      </c>
      <c r="G50" s="129">
        <f>F50*E50</f>
        <v>480.9456</v>
      </c>
    </row>
    <row r="51" spans="1:7" s="109" customFormat="1" ht="27.75" customHeight="1">
      <c r="A51" s="531"/>
      <c r="B51" s="128" t="s">
        <v>193</v>
      </c>
      <c r="C51" s="130" t="s">
        <v>194</v>
      </c>
      <c r="D51" s="136" t="s">
        <v>78</v>
      </c>
      <c r="E51" s="158">
        <v>25.44</v>
      </c>
      <c r="F51" s="157">
        <v>25.74</v>
      </c>
      <c r="G51" s="129">
        <f>F51*E51</f>
        <v>654.8256</v>
      </c>
    </row>
    <row r="52" spans="1:7" s="109" customFormat="1" ht="14.25">
      <c r="A52" s="531"/>
      <c r="B52" s="125" t="s">
        <v>317</v>
      </c>
      <c r="C52" s="156" t="s">
        <v>233</v>
      </c>
      <c r="D52" s="128" t="s">
        <v>79</v>
      </c>
      <c r="E52" s="158">
        <v>15.53</v>
      </c>
      <c r="F52" s="157">
        <v>7.74</v>
      </c>
      <c r="G52" s="129">
        <f>F52*E52</f>
        <v>120.2022</v>
      </c>
    </row>
    <row r="53" spans="1:7" s="109" customFormat="1" ht="27.75">
      <c r="A53" s="531"/>
      <c r="B53" s="128" t="s">
        <v>168</v>
      </c>
      <c r="C53" s="130" t="s">
        <v>234</v>
      </c>
      <c r="D53" s="125" t="s">
        <v>80</v>
      </c>
      <c r="E53" s="164">
        <v>24.74</v>
      </c>
      <c r="F53" s="157">
        <v>10</v>
      </c>
      <c r="G53" s="129">
        <f>F53*E53</f>
        <v>247.39999999999998</v>
      </c>
    </row>
    <row r="54" spans="1:7" s="109" customFormat="1" ht="27.75">
      <c r="A54" s="531"/>
      <c r="B54" s="142" t="s">
        <v>223</v>
      </c>
      <c r="C54" s="143" t="s">
        <v>224</v>
      </c>
      <c r="D54" s="136" t="s">
        <v>20</v>
      </c>
      <c r="E54" s="158">
        <v>7.06</v>
      </c>
      <c r="F54" s="141">
        <v>2</v>
      </c>
      <c r="G54" s="129">
        <f>E54*F54</f>
        <v>14.12</v>
      </c>
    </row>
    <row r="55" spans="1:7" s="109" customFormat="1" ht="14.25">
      <c r="A55" s="531"/>
      <c r="B55" s="128" t="s">
        <v>228</v>
      </c>
      <c r="C55" s="156" t="s">
        <v>229</v>
      </c>
      <c r="D55" s="136" t="s">
        <v>78</v>
      </c>
      <c r="E55" s="142">
        <v>3</v>
      </c>
      <c r="F55" s="157">
        <v>2</v>
      </c>
      <c r="G55" s="129">
        <f>F55*E55</f>
        <v>6</v>
      </c>
    </row>
    <row r="56" spans="1:7" s="109" customFormat="1" ht="14.25">
      <c r="A56" s="531"/>
      <c r="B56" s="136" t="s">
        <v>215</v>
      </c>
      <c r="C56" s="137" t="s">
        <v>216</v>
      </c>
      <c r="D56" s="136" t="s">
        <v>123</v>
      </c>
      <c r="E56" s="158">
        <v>3.5</v>
      </c>
      <c r="F56" s="136">
        <v>1.5</v>
      </c>
      <c r="G56" s="129">
        <f>E56*F56</f>
        <v>5.25</v>
      </c>
    </row>
    <row r="57" spans="1:7" s="109" customFormat="1" ht="42">
      <c r="A57" s="531"/>
      <c r="B57" s="111" t="s">
        <v>235</v>
      </c>
      <c r="C57" s="112" t="s">
        <v>236</v>
      </c>
      <c r="D57" s="125" t="s">
        <v>80</v>
      </c>
      <c r="E57" s="136">
        <v>2.5</v>
      </c>
      <c r="F57" s="136">
        <v>0.864</v>
      </c>
      <c r="G57" s="129">
        <f>E57*F57</f>
        <v>2.16</v>
      </c>
    </row>
    <row r="58" spans="1:7" s="109" customFormat="1" ht="28.5">
      <c r="A58" s="531"/>
      <c r="B58" s="136" t="s">
        <v>217</v>
      </c>
      <c r="C58" s="139" t="s">
        <v>218</v>
      </c>
      <c r="D58" s="136" t="s">
        <v>21</v>
      </c>
      <c r="E58" s="141">
        <v>22</v>
      </c>
      <c r="F58" s="141">
        <v>22</v>
      </c>
      <c r="G58" s="129">
        <f>E58*F58</f>
        <v>484</v>
      </c>
    </row>
    <row r="59" spans="1:7" s="109" customFormat="1" ht="14.25">
      <c r="A59" s="91"/>
      <c r="B59" s="91"/>
      <c r="C59" s="92"/>
      <c r="D59" s="93"/>
      <c r="E59" s="94"/>
      <c r="F59" s="90" t="s">
        <v>35</v>
      </c>
      <c r="G59" s="90">
        <f>SUM(G49:G58)</f>
        <v>2014.9034</v>
      </c>
    </row>
    <row r="60" spans="1:7" ht="14.25">
      <c r="A60" s="41"/>
      <c r="B60" s="42"/>
      <c r="C60" s="43"/>
      <c r="D60" s="86"/>
      <c r="E60" s="86"/>
      <c r="F60" s="40"/>
      <c r="G60" s="40"/>
    </row>
    <row r="61" spans="1:7" ht="28.5">
      <c r="A61" s="44" t="s">
        <v>37</v>
      </c>
      <c r="B61" s="44" t="s">
        <v>364</v>
      </c>
      <c r="C61" s="44" t="s">
        <v>30</v>
      </c>
      <c r="D61" s="45" t="s">
        <v>31</v>
      </c>
      <c r="E61" s="45" t="s">
        <v>32</v>
      </c>
      <c r="F61" s="46" t="s">
        <v>33</v>
      </c>
      <c r="G61" s="46" t="s">
        <v>34</v>
      </c>
    </row>
    <row r="62" spans="1:7" ht="14.25">
      <c r="A62" s="528" t="e">
        <f>#REF!</f>
        <v>#REF!</v>
      </c>
      <c r="B62" s="55"/>
      <c r="C62" s="56" t="s">
        <v>128</v>
      </c>
      <c r="D62" s="45"/>
      <c r="E62" s="47"/>
      <c r="F62" s="48"/>
      <c r="G62" s="49"/>
    </row>
    <row r="63" spans="1:7" ht="14.25">
      <c r="A63" s="529"/>
      <c r="B63" s="55" t="s">
        <v>97</v>
      </c>
      <c r="C63" s="57" t="s">
        <v>130</v>
      </c>
      <c r="D63" s="58" t="s">
        <v>57</v>
      </c>
      <c r="E63" s="59">
        <v>1</v>
      </c>
      <c r="F63" s="60">
        <v>29.3</v>
      </c>
      <c r="G63" s="49">
        <f>E63*F63</f>
        <v>29.3</v>
      </c>
    </row>
    <row r="64" spans="1:7" ht="14.25">
      <c r="A64" s="529"/>
      <c r="B64" s="55">
        <v>247</v>
      </c>
      <c r="C64" s="57" t="s">
        <v>284</v>
      </c>
      <c r="D64" s="58" t="s">
        <v>36</v>
      </c>
      <c r="E64" s="59">
        <v>0.1</v>
      </c>
      <c r="F64" s="60">
        <v>8.12</v>
      </c>
      <c r="G64" s="49">
        <f>E64*F64</f>
        <v>0.8119999999999999</v>
      </c>
    </row>
    <row r="65" spans="1:7" ht="14.25">
      <c r="A65" s="530"/>
      <c r="B65" s="55">
        <v>2436</v>
      </c>
      <c r="C65" s="57" t="s">
        <v>70</v>
      </c>
      <c r="D65" s="58" t="s">
        <v>36</v>
      </c>
      <c r="E65" s="61">
        <v>0.1</v>
      </c>
      <c r="F65" s="48">
        <v>11.31</v>
      </c>
      <c r="G65" s="49">
        <f>E65*F65</f>
        <v>1.131</v>
      </c>
    </row>
    <row r="66" spans="1:7" ht="14.25">
      <c r="A66" s="50"/>
      <c r="B66" s="50"/>
      <c r="C66" s="51"/>
      <c r="D66" s="52"/>
      <c r="E66" s="53"/>
      <c r="F66" s="32" t="s">
        <v>35</v>
      </c>
      <c r="G66" s="32">
        <f>SUM(G63:G65)</f>
        <v>31.243000000000002</v>
      </c>
    </row>
    <row r="67" spans="1:7" ht="14.25">
      <c r="A67" s="41"/>
      <c r="B67" s="42"/>
      <c r="C67" s="43"/>
      <c r="D67" s="86"/>
      <c r="E67" s="86"/>
      <c r="F67" s="40"/>
      <c r="G67" s="40"/>
    </row>
    <row r="68" spans="1:7" ht="28.5">
      <c r="A68" s="44" t="s">
        <v>37</v>
      </c>
      <c r="B68" s="44" t="s">
        <v>364</v>
      </c>
      <c r="C68" s="44" t="s">
        <v>30</v>
      </c>
      <c r="D68" s="45" t="s">
        <v>31</v>
      </c>
      <c r="E68" s="45" t="s">
        <v>32</v>
      </c>
      <c r="F68" s="46" t="s">
        <v>33</v>
      </c>
      <c r="G68" s="46" t="s">
        <v>34</v>
      </c>
    </row>
    <row r="69" spans="1:7" ht="14.25">
      <c r="A69" s="528" t="e">
        <f>#REF!</f>
        <v>#REF!</v>
      </c>
      <c r="B69" s="55"/>
      <c r="C69" s="56" t="s">
        <v>140</v>
      </c>
      <c r="D69" s="45"/>
      <c r="E69" s="47"/>
      <c r="F69" s="48"/>
      <c r="G69" s="49"/>
    </row>
    <row r="70" spans="1:7" ht="14.25">
      <c r="A70" s="529"/>
      <c r="B70" s="55" t="s">
        <v>97</v>
      </c>
      <c r="C70" s="57" t="s">
        <v>141</v>
      </c>
      <c r="D70" s="58" t="s">
        <v>57</v>
      </c>
      <c r="E70" s="59">
        <v>1</v>
      </c>
      <c r="F70" s="60">
        <v>1.95</v>
      </c>
      <c r="G70" s="49">
        <f>E70*F70</f>
        <v>1.95</v>
      </c>
    </row>
    <row r="71" spans="1:7" ht="14.25">
      <c r="A71" s="529"/>
      <c r="B71" s="55">
        <v>247</v>
      </c>
      <c r="C71" s="57" t="s">
        <v>284</v>
      </c>
      <c r="D71" s="58" t="s">
        <v>36</v>
      </c>
      <c r="E71" s="59">
        <v>0.1</v>
      </c>
      <c r="F71" s="60">
        <v>8.12</v>
      </c>
      <c r="G71" s="49">
        <f>E71*F71</f>
        <v>0.8119999999999999</v>
      </c>
    </row>
    <row r="72" spans="1:7" ht="14.25">
      <c r="A72" s="530"/>
      <c r="B72" s="55">
        <v>2436</v>
      </c>
      <c r="C72" s="57" t="s">
        <v>70</v>
      </c>
      <c r="D72" s="58" t="s">
        <v>36</v>
      </c>
      <c r="E72" s="61">
        <v>0.1</v>
      </c>
      <c r="F72" s="48">
        <v>11.31</v>
      </c>
      <c r="G72" s="49">
        <f>E72*F72</f>
        <v>1.131</v>
      </c>
    </row>
    <row r="73" spans="1:7" ht="14.25">
      <c r="A73" s="50"/>
      <c r="B73" s="50"/>
      <c r="C73" s="51"/>
      <c r="D73" s="52"/>
      <c r="E73" s="53"/>
      <c r="F73" s="32" t="s">
        <v>35</v>
      </c>
      <c r="G73" s="32">
        <f>SUM(G70:G72)</f>
        <v>3.893</v>
      </c>
    </row>
    <row r="74" spans="1:7" ht="14.25">
      <c r="A74" s="50"/>
      <c r="B74" s="50"/>
      <c r="C74" s="51"/>
      <c r="D74" s="52"/>
      <c r="E74" s="53"/>
      <c r="F74" s="62"/>
      <c r="G74" s="62"/>
    </row>
    <row r="75" spans="1:7" ht="28.5">
      <c r="A75" s="44" t="s">
        <v>37</v>
      </c>
      <c r="B75" s="44" t="s">
        <v>364</v>
      </c>
      <c r="C75" s="65" t="s">
        <v>30</v>
      </c>
      <c r="D75" s="45" t="s">
        <v>31</v>
      </c>
      <c r="E75" s="45" t="s">
        <v>32</v>
      </c>
      <c r="F75" s="46" t="s">
        <v>33</v>
      </c>
      <c r="G75" s="46" t="s">
        <v>34</v>
      </c>
    </row>
    <row r="76" spans="1:7" ht="43.5">
      <c r="A76" s="528" t="e">
        <f>#REF!</f>
        <v>#REF!</v>
      </c>
      <c r="B76" s="55"/>
      <c r="C76" s="66" t="s">
        <v>110</v>
      </c>
      <c r="D76" s="45"/>
      <c r="E76" s="47"/>
      <c r="F76" s="48"/>
      <c r="G76" s="49"/>
    </row>
    <row r="77" spans="1:7" ht="28.5">
      <c r="A77" s="529"/>
      <c r="B77" s="55" t="s">
        <v>97</v>
      </c>
      <c r="C77" s="33" t="s">
        <v>133</v>
      </c>
      <c r="D77" s="58" t="s">
        <v>57</v>
      </c>
      <c r="E77" s="59">
        <v>1</v>
      </c>
      <c r="F77" s="60">
        <v>18.25</v>
      </c>
      <c r="G77" s="49">
        <f>E77*F77</f>
        <v>18.25</v>
      </c>
    </row>
    <row r="78" spans="1:7" ht="28.5">
      <c r="A78" s="529"/>
      <c r="B78" s="55" t="s">
        <v>97</v>
      </c>
      <c r="C78" s="67" t="s">
        <v>134</v>
      </c>
      <c r="D78" s="58" t="s">
        <v>57</v>
      </c>
      <c r="E78" s="59">
        <v>1</v>
      </c>
      <c r="F78" s="60">
        <v>75.99</v>
      </c>
      <c r="G78" s="49">
        <f>E78*F78</f>
        <v>75.99</v>
      </c>
    </row>
    <row r="79" spans="1:7" ht="14.25">
      <c r="A79" s="529"/>
      <c r="B79" s="55">
        <v>247</v>
      </c>
      <c r="C79" s="57" t="s">
        <v>284</v>
      </c>
      <c r="D79" s="58" t="s">
        <v>36</v>
      </c>
      <c r="E79" s="59">
        <v>0.5</v>
      </c>
      <c r="F79" s="60">
        <v>8.12</v>
      </c>
      <c r="G79" s="49">
        <f>E79*F79</f>
        <v>4.06</v>
      </c>
    </row>
    <row r="80" spans="1:7" ht="14.25">
      <c r="A80" s="530"/>
      <c r="B80" s="55">
        <v>2436</v>
      </c>
      <c r="C80" s="57" t="s">
        <v>70</v>
      </c>
      <c r="D80" s="58" t="s">
        <v>36</v>
      </c>
      <c r="E80" s="61">
        <v>0.5</v>
      </c>
      <c r="F80" s="48">
        <v>11.31</v>
      </c>
      <c r="G80" s="49">
        <f>E80*F80</f>
        <v>5.655</v>
      </c>
    </row>
    <row r="81" spans="1:7" ht="14.25">
      <c r="A81" s="50"/>
      <c r="B81" s="50"/>
      <c r="C81" s="51"/>
      <c r="D81" s="52"/>
      <c r="E81" s="53"/>
      <c r="F81" s="32" t="s">
        <v>35</v>
      </c>
      <c r="G81" s="32">
        <f>SUM(G77:G80)</f>
        <v>103.955</v>
      </c>
    </row>
    <row r="82" spans="1:7" ht="14.25">
      <c r="A82" s="50"/>
      <c r="B82" s="50"/>
      <c r="C82" s="51"/>
      <c r="D82" s="52"/>
      <c r="E82" s="53"/>
      <c r="F82" s="62"/>
      <c r="G82" s="62"/>
    </row>
    <row r="83" spans="1:7" ht="28.5">
      <c r="A83" s="44" t="s">
        <v>37</v>
      </c>
      <c r="B83" s="44" t="s">
        <v>364</v>
      </c>
      <c r="C83" s="65" t="s">
        <v>30</v>
      </c>
      <c r="D83" s="45" t="s">
        <v>31</v>
      </c>
      <c r="E83" s="45" t="s">
        <v>32</v>
      </c>
      <c r="F83" s="46" t="s">
        <v>33</v>
      </c>
      <c r="G83" s="46" t="s">
        <v>34</v>
      </c>
    </row>
    <row r="84" spans="1:7" ht="14.25">
      <c r="A84" s="528" t="e">
        <f>#REF!</f>
        <v>#REF!</v>
      </c>
      <c r="B84" s="55"/>
      <c r="C84" s="66" t="s">
        <v>111</v>
      </c>
      <c r="D84" s="45"/>
      <c r="E84" s="47"/>
      <c r="F84" s="48"/>
      <c r="G84" s="49"/>
    </row>
    <row r="85" spans="1:7" ht="14.25">
      <c r="A85" s="529"/>
      <c r="B85" s="55" t="s">
        <v>97</v>
      </c>
      <c r="C85" s="68" t="s">
        <v>111</v>
      </c>
      <c r="D85" s="58" t="s">
        <v>57</v>
      </c>
      <c r="E85" s="59">
        <v>1</v>
      </c>
      <c r="F85" s="60">
        <v>19</v>
      </c>
      <c r="G85" s="49">
        <f>E85*F85</f>
        <v>19</v>
      </c>
    </row>
    <row r="86" spans="1:7" ht="14.25">
      <c r="A86" s="529"/>
      <c r="B86" s="55">
        <v>247</v>
      </c>
      <c r="C86" s="57" t="s">
        <v>284</v>
      </c>
      <c r="D86" s="58" t="s">
        <v>36</v>
      </c>
      <c r="E86" s="59">
        <v>0.15</v>
      </c>
      <c r="F86" s="60">
        <v>8.12</v>
      </c>
      <c r="G86" s="49">
        <f>E86*F86</f>
        <v>1.2179999999999997</v>
      </c>
    </row>
    <row r="87" spans="1:7" ht="14.25">
      <c r="A87" s="530"/>
      <c r="B87" s="55">
        <v>2436</v>
      </c>
      <c r="C87" s="57" t="s">
        <v>70</v>
      </c>
      <c r="D87" s="58" t="s">
        <v>36</v>
      </c>
      <c r="E87" s="61">
        <v>0.15</v>
      </c>
      <c r="F87" s="48">
        <v>11.31</v>
      </c>
      <c r="G87" s="49">
        <f>E87*F87</f>
        <v>1.6965000000000001</v>
      </c>
    </row>
    <row r="88" spans="1:7" ht="14.25">
      <c r="A88" s="50"/>
      <c r="B88" s="50"/>
      <c r="C88" s="51"/>
      <c r="D88" s="52"/>
      <c r="E88" s="53"/>
      <c r="F88" s="32" t="s">
        <v>35</v>
      </c>
      <c r="G88" s="32">
        <f>SUM(G85:G87)</f>
        <v>21.9145</v>
      </c>
    </row>
    <row r="89" spans="1:7" ht="14.25">
      <c r="A89" s="50"/>
      <c r="B89" s="50"/>
      <c r="C89" s="51"/>
      <c r="D89" s="52"/>
      <c r="E89" s="53"/>
      <c r="F89" s="62"/>
      <c r="G89" s="62"/>
    </row>
    <row r="90" spans="1:7" ht="28.5">
      <c r="A90" s="44" t="s">
        <v>37</v>
      </c>
      <c r="B90" s="44" t="s">
        <v>364</v>
      </c>
      <c r="C90" s="65" t="s">
        <v>30</v>
      </c>
      <c r="D90" s="45" t="s">
        <v>31</v>
      </c>
      <c r="E90" s="45" t="s">
        <v>32</v>
      </c>
      <c r="F90" s="46" t="s">
        <v>33</v>
      </c>
      <c r="G90" s="46" t="s">
        <v>34</v>
      </c>
    </row>
    <row r="91" spans="1:7" ht="14.25">
      <c r="A91" s="528" t="e">
        <f>#REF!</f>
        <v>#REF!</v>
      </c>
      <c r="B91" s="55"/>
      <c r="C91" s="66" t="s">
        <v>144</v>
      </c>
      <c r="D91" s="45"/>
      <c r="E91" s="47"/>
      <c r="F91" s="48"/>
      <c r="G91" s="49"/>
    </row>
    <row r="92" spans="1:7" ht="14.25">
      <c r="A92" s="529"/>
      <c r="B92" s="69" t="s">
        <v>97</v>
      </c>
      <c r="C92" s="34" t="s">
        <v>145</v>
      </c>
      <c r="D92" s="58" t="s">
        <v>57</v>
      </c>
      <c r="E92" s="59">
        <v>1</v>
      </c>
      <c r="F92" s="60">
        <v>6.79</v>
      </c>
      <c r="G92" s="49">
        <f>E92*F92</f>
        <v>6.79</v>
      </c>
    </row>
    <row r="93" spans="1:7" ht="14.25">
      <c r="A93" s="529"/>
      <c r="B93" s="55">
        <v>247</v>
      </c>
      <c r="C93" s="57" t="s">
        <v>284</v>
      </c>
      <c r="D93" s="58" t="s">
        <v>36</v>
      </c>
      <c r="E93" s="59">
        <v>0.25</v>
      </c>
      <c r="F93" s="60">
        <v>8.12</v>
      </c>
      <c r="G93" s="49">
        <f>E93*F93</f>
        <v>2.03</v>
      </c>
    </row>
    <row r="94" spans="1:7" ht="14.25">
      <c r="A94" s="530"/>
      <c r="B94" s="55">
        <v>2436</v>
      </c>
      <c r="C94" s="57" t="s">
        <v>70</v>
      </c>
      <c r="D94" s="58" t="s">
        <v>36</v>
      </c>
      <c r="E94" s="61">
        <v>0.25</v>
      </c>
      <c r="F94" s="48">
        <v>11.31</v>
      </c>
      <c r="G94" s="49">
        <f>E94*F94</f>
        <v>2.8275</v>
      </c>
    </row>
    <row r="95" spans="1:7" ht="14.25">
      <c r="A95" s="50"/>
      <c r="B95" s="50"/>
      <c r="C95" s="51"/>
      <c r="D95" s="52"/>
      <c r="E95" s="53"/>
      <c r="F95" s="32" t="s">
        <v>35</v>
      </c>
      <c r="G95" s="32">
        <f>SUM(G92:G94)</f>
        <v>11.6475</v>
      </c>
    </row>
    <row r="96" spans="1:7" ht="14.25">
      <c r="A96" s="50"/>
      <c r="B96" s="50"/>
      <c r="C96" s="51"/>
      <c r="D96" s="52"/>
      <c r="E96" s="53"/>
      <c r="F96" s="62"/>
      <c r="G96" s="62"/>
    </row>
    <row r="97" spans="1:7" ht="28.5">
      <c r="A97" s="44" t="s">
        <v>37</v>
      </c>
      <c r="B97" s="44" t="s">
        <v>364</v>
      </c>
      <c r="C97" s="65" t="s">
        <v>30</v>
      </c>
      <c r="D97" s="45" t="s">
        <v>31</v>
      </c>
      <c r="E97" s="45" t="s">
        <v>32</v>
      </c>
      <c r="F97" s="46" t="s">
        <v>33</v>
      </c>
      <c r="G97" s="46" t="s">
        <v>34</v>
      </c>
    </row>
    <row r="98" spans="1:7" ht="14.25">
      <c r="A98" s="528" t="e">
        <f>#REF!</f>
        <v>#REF!</v>
      </c>
      <c r="B98" s="55"/>
      <c r="C98" s="66" t="s">
        <v>112</v>
      </c>
      <c r="D98" s="45"/>
      <c r="E98" s="47"/>
      <c r="F98" s="48"/>
      <c r="G98" s="49"/>
    </row>
    <row r="99" spans="1:7" ht="14.25">
      <c r="A99" s="529"/>
      <c r="B99" s="69" t="s">
        <v>97</v>
      </c>
      <c r="C99" s="34" t="s">
        <v>112</v>
      </c>
      <c r="D99" s="58" t="s">
        <v>57</v>
      </c>
      <c r="E99" s="59">
        <v>1</v>
      </c>
      <c r="F99" s="60">
        <v>35.6</v>
      </c>
      <c r="G99" s="49">
        <f>E99*F99</f>
        <v>35.6</v>
      </c>
    </row>
    <row r="100" spans="1:7" ht="14.25">
      <c r="A100" s="529"/>
      <c r="B100" s="55">
        <v>247</v>
      </c>
      <c r="C100" s="57" t="s">
        <v>284</v>
      </c>
      <c r="D100" s="58" t="s">
        <v>36</v>
      </c>
      <c r="E100" s="59">
        <v>0.4</v>
      </c>
      <c r="F100" s="60">
        <v>8.12</v>
      </c>
      <c r="G100" s="49">
        <f>E100*F100</f>
        <v>3.2479999999999998</v>
      </c>
    </row>
    <row r="101" spans="1:7" ht="14.25">
      <c r="A101" s="530"/>
      <c r="B101" s="55">
        <v>2436</v>
      </c>
      <c r="C101" s="57" t="s">
        <v>70</v>
      </c>
      <c r="D101" s="58" t="s">
        <v>36</v>
      </c>
      <c r="E101" s="61">
        <v>0.4</v>
      </c>
      <c r="F101" s="48">
        <v>11.31</v>
      </c>
      <c r="G101" s="49">
        <f>E101*F101</f>
        <v>4.524</v>
      </c>
    </row>
    <row r="102" spans="1:7" ht="14.25">
      <c r="A102" s="50"/>
      <c r="B102" s="50"/>
      <c r="C102" s="51"/>
      <c r="D102" s="52"/>
      <c r="E102" s="53"/>
      <c r="F102" s="32" t="s">
        <v>35</v>
      </c>
      <c r="G102" s="32">
        <f>SUM(G99:G101)</f>
        <v>43.372</v>
      </c>
    </row>
    <row r="103" spans="1:7" ht="14.25">
      <c r="A103" s="50"/>
      <c r="B103" s="50"/>
      <c r="C103" s="51"/>
      <c r="D103" s="52"/>
      <c r="E103" s="53"/>
      <c r="F103" s="62"/>
      <c r="G103" s="62"/>
    </row>
    <row r="104" spans="1:7" ht="28.5">
      <c r="A104" s="44" t="s">
        <v>37</v>
      </c>
      <c r="B104" s="44" t="s">
        <v>364</v>
      </c>
      <c r="C104" s="65" t="s">
        <v>30</v>
      </c>
      <c r="D104" s="45" t="s">
        <v>31</v>
      </c>
      <c r="E104" s="45" t="s">
        <v>32</v>
      </c>
      <c r="F104" s="46" t="s">
        <v>33</v>
      </c>
      <c r="G104" s="46" t="s">
        <v>34</v>
      </c>
    </row>
    <row r="105" spans="1:7" ht="14.25">
      <c r="A105" s="528" t="e">
        <f>#REF!</f>
        <v>#REF!</v>
      </c>
      <c r="B105" s="55"/>
      <c r="C105" s="66" t="s">
        <v>136</v>
      </c>
      <c r="D105" s="45"/>
      <c r="E105" s="47"/>
      <c r="F105" s="48"/>
      <c r="G105" s="49"/>
    </row>
    <row r="106" spans="1:7" ht="14.25">
      <c r="A106" s="529"/>
      <c r="B106" s="69">
        <v>11855</v>
      </c>
      <c r="C106" s="34" t="s">
        <v>135</v>
      </c>
      <c r="D106" s="58" t="s">
        <v>57</v>
      </c>
      <c r="E106" s="59">
        <v>1</v>
      </c>
      <c r="F106" s="60">
        <v>6.58</v>
      </c>
      <c r="G106" s="49">
        <f>E106*F106</f>
        <v>6.58</v>
      </c>
    </row>
    <row r="107" spans="1:7" ht="14.25">
      <c r="A107" s="529"/>
      <c r="B107" s="55">
        <v>247</v>
      </c>
      <c r="C107" s="57" t="s">
        <v>284</v>
      </c>
      <c r="D107" s="58" t="s">
        <v>36</v>
      </c>
      <c r="E107" s="59">
        <v>0.2</v>
      </c>
      <c r="F107" s="60">
        <v>8.12</v>
      </c>
      <c r="G107" s="49">
        <f>E107*F107</f>
        <v>1.6239999999999999</v>
      </c>
    </row>
    <row r="108" spans="1:7" ht="14.25">
      <c r="A108" s="530"/>
      <c r="B108" s="55">
        <v>2436</v>
      </c>
      <c r="C108" s="57" t="s">
        <v>70</v>
      </c>
      <c r="D108" s="58" t="s">
        <v>36</v>
      </c>
      <c r="E108" s="61">
        <v>0.2</v>
      </c>
      <c r="F108" s="48">
        <v>11.31</v>
      </c>
      <c r="G108" s="49">
        <f>E108*F108</f>
        <v>2.262</v>
      </c>
    </row>
    <row r="109" spans="1:7" ht="14.25">
      <c r="A109" s="50"/>
      <c r="B109" s="50"/>
      <c r="C109" s="51"/>
      <c r="D109" s="52"/>
      <c r="E109" s="53"/>
      <c r="F109" s="32" t="s">
        <v>35</v>
      </c>
      <c r="G109" s="32">
        <f>SUM(G106:G108)</f>
        <v>10.466000000000001</v>
      </c>
    </row>
    <row r="110" spans="1:7" ht="14.25">
      <c r="A110" s="50"/>
      <c r="B110" s="50"/>
      <c r="C110" s="51"/>
      <c r="D110" s="52"/>
      <c r="E110" s="53"/>
      <c r="F110" s="62"/>
      <c r="G110" s="62"/>
    </row>
    <row r="111" spans="1:7" ht="28.5">
      <c r="A111" s="44" t="s">
        <v>37</v>
      </c>
      <c r="B111" s="44" t="s">
        <v>364</v>
      </c>
      <c r="C111" s="65" t="s">
        <v>30</v>
      </c>
      <c r="D111" s="45" t="s">
        <v>31</v>
      </c>
      <c r="E111" s="45" t="s">
        <v>32</v>
      </c>
      <c r="F111" s="46" t="s">
        <v>33</v>
      </c>
      <c r="G111" s="46" t="s">
        <v>34</v>
      </c>
    </row>
    <row r="112" spans="1:7" ht="28.5">
      <c r="A112" s="528" t="e">
        <f>#REF!</f>
        <v>#REF!</v>
      </c>
      <c r="B112" s="55"/>
      <c r="C112" s="66" t="s">
        <v>113</v>
      </c>
      <c r="D112" s="45"/>
      <c r="E112" s="47"/>
      <c r="F112" s="48"/>
      <c r="G112" s="49"/>
    </row>
    <row r="113" spans="1:7" ht="14.25">
      <c r="A113" s="529"/>
      <c r="B113" s="69" t="s">
        <v>97</v>
      </c>
      <c r="C113" s="34" t="s">
        <v>137</v>
      </c>
      <c r="D113" s="58" t="s">
        <v>57</v>
      </c>
      <c r="E113" s="59">
        <v>1</v>
      </c>
      <c r="F113" s="60">
        <v>1.45</v>
      </c>
      <c r="G113" s="49">
        <f>E113*F113</f>
        <v>1.45</v>
      </c>
    </row>
    <row r="114" spans="1:7" ht="14.25">
      <c r="A114" s="529"/>
      <c r="B114" s="55">
        <v>247</v>
      </c>
      <c r="C114" s="57" t="s">
        <v>284</v>
      </c>
      <c r="D114" s="58" t="s">
        <v>36</v>
      </c>
      <c r="E114" s="59">
        <v>0.2</v>
      </c>
      <c r="F114" s="60">
        <v>8.12</v>
      </c>
      <c r="G114" s="49">
        <f>E114*F114</f>
        <v>1.6239999999999999</v>
      </c>
    </row>
    <row r="115" spans="1:7" ht="14.25">
      <c r="A115" s="530"/>
      <c r="B115" s="55">
        <v>2436</v>
      </c>
      <c r="C115" s="57" t="s">
        <v>70</v>
      </c>
      <c r="D115" s="58" t="s">
        <v>36</v>
      </c>
      <c r="E115" s="61">
        <v>0.2</v>
      </c>
      <c r="F115" s="48">
        <v>11.31</v>
      </c>
      <c r="G115" s="49">
        <f>E115*F115</f>
        <v>2.262</v>
      </c>
    </row>
    <row r="116" spans="1:7" ht="14.25">
      <c r="A116" s="50"/>
      <c r="B116" s="50"/>
      <c r="C116" s="51"/>
      <c r="D116" s="52"/>
      <c r="E116" s="53"/>
      <c r="F116" s="32" t="s">
        <v>35</v>
      </c>
      <c r="G116" s="32">
        <f>SUM(G113:G115)</f>
        <v>5.336</v>
      </c>
    </row>
    <row r="117" spans="1:7" ht="14.25">
      <c r="A117" s="50"/>
      <c r="B117" s="50"/>
      <c r="C117" s="51"/>
      <c r="D117" s="52"/>
      <c r="E117" s="53"/>
      <c r="F117" s="62"/>
      <c r="G117" s="62"/>
    </row>
    <row r="118" spans="1:7" ht="28.5">
      <c r="A118" s="44" t="s">
        <v>37</v>
      </c>
      <c r="B118" s="44" t="s">
        <v>364</v>
      </c>
      <c r="C118" s="65" t="s">
        <v>30</v>
      </c>
      <c r="D118" s="45" t="s">
        <v>31</v>
      </c>
      <c r="E118" s="45" t="s">
        <v>32</v>
      </c>
      <c r="F118" s="46" t="s">
        <v>33</v>
      </c>
      <c r="G118" s="46" t="s">
        <v>34</v>
      </c>
    </row>
    <row r="119" spans="1:7" ht="14.25">
      <c r="A119" s="528" t="e">
        <f>#REF!</f>
        <v>#REF!</v>
      </c>
      <c r="B119" s="55"/>
      <c r="C119" s="66" t="s">
        <v>142</v>
      </c>
      <c r="D119" s="45"/>
      <c r="E119" s="47"/>
      <c r="F119" s="48"/>
      <c r="G119" s="49"/>
    </row>
    <row r="120" spans="1:7" ht="14.25">
      <c r="A120" s="529"/>
      <c r="B120" s="69" t="s">
        <v>97</v>
      </c>
      <c r="C120" s="34" t="s">
        <v>143</v>
      </c>
      <c r="D120" s="58" t="s">
        <v>57</v>
      </c>
      <c r="E120" s="59">
        <v>1</v>
      </c>
      <c r="F120" s="60">
        <v>1.75</v>
      </c>
      <c r="G120" s="49">
        <f>E120*F120</f>
        <v>1.75</v>
      </c>
    </row>
    <row r="121" spans="1:7" ht="14.25">
      <c r="A121" s="529"/>
      <c r="B121" s="55">
        <v>247</v>
      </c>
      <c r="C121" s="57" t="s">
        <v>284</v>
      </c>
      <c r="D121" s="58" t="s">
        <v>36</v>
      </c>
      <c r="E121" s="59">
        <v>0.15</v>
      </c>
      <c r="F121" s="60">
        <v>8.12</v>
      </c>
      <c r="G121" s="49">
        <f>E121*F121</f>
        <v>1.2179999999999997</v>
      </c>
    </row>
    <row r="122" spans="1:7" ht="14.25">
      <c r="A122" s="530"/>
      <c r="B122" s="55">
        <v>2436</v>
      </c>
      <c r="C122" s="57" t="s">
        <v>70</v>
      </c>
      <c r="D122" s="58" t="s">
        <v>36</v>
      </c>
      <c r="E122" s="61">
        <v>0.15</v>
      </c>
      <c r="F122" s="48">
        <v>11.31</v>
      </c>
      <c r="G122" s="49">
        <f>E122*F122</f>
        <v>1.6965000000000001</v>
      </c>
    </row>
    <row r="123" spans="1:7" ht="14.25">
      <c r="A123" s="50"/>
      <c r="B123" s="50"/>
      <c r="C123" s="51"/>
      <c r="D123" s="52"/>
      <c r="E123" s="53"/>
      <c r="F123" s="32" t="s">
        <v>35</v>
      </c>
      <c r="G123" s="32">
        <f>SUM(G120:G122)</f>
        <v>4.6645</v>
      </c>
    </row>
    <row r="124" spans="2:7" ht="14.25">
      <c r="B124" s="70"/>
      <c r="C124" s="73"/>
      <c r="D124" s="70"/>
      <c r="E124" s="72"/>
      <c r="F124" s="73"/>
      <c r="G124" s="74"/>
    </row>
    <row r="125" spans="1:7" ht="28.5">
      <c r="A125" s="44" t="s">
        <v>37</v>
      </c>
      <c r="B125" s="44" t="s">
        <v>364</v>
      </c>
      <c r="C125" s="65" t="s">
        <v>30</v>
      </c>
      <c r="D125" s="45" t="s">
        <v>31</v>
      </c>
      <c r="E125" s="45" t="s">
        <v>32</v>
      </c>
      <c r="F125" s="46" t="s">
        <v>33</v>
      </c>
      <c r="G125" s="46" t="s">
        <v>34</v>
      </c>
    </row>
    <row r="126" spans="1:7" ht="14.25">
      <c r="A126" s="528" t="e">
        <f>#REF!</f>
        <v>#REF!</v>
      </c>
      <c r="B126" s="55"/>
      <c r="C126" s="66" t="s">
        <v>114</v>
      </c>
      <c r="D126" s="45"/>
      <c r="E126" s="47"/>
      <c r="F126" s="48"/>
      <c r="G126" s="49"/>
    </row>
    <row r="127" spans="1:7" ht="14.25">
      <c r="A127" s="529"/>
      <c r="B127" s="69" t="s">
        <v>97</v>
      </c>
      <c r="C127" s="34" t="s">
        <v>139</v>
      </c>
      <c r="D127" s="58" t="s">
        <v>57</v>
      </c>
      <c r="E127" s="59">
        <v>1</v>
      </c>
      <c r="F127" s="60">
        <v>8.7</v>
      </c>
      <c r="G127" s="49">
        <f>E127*F127</f>
        <v>8.7</v>
      </c>
    </row>
    <row r="128" spans="1:7" ht="14.25">
      <c r="A128" s="529"/>
      <c r="B128" s="55">
        <v>247</v>
      </c>
      <c r="C128" s="57" t="s">
        <v>284</v>
      </c>
      <c r="D128" s="58" t="s">
        <v>36</v>
      </c>
      <c r="E128" s="59">
        <v>0.2</v>
      </c>
      <c r="F128" s="60">
        <v>8.12</v>
      </c>
      <c r="G128" s="49">
        <f>E128*F128</f>
        <v>1.6239999999999999</v>
      </c>
    </row>
    <row r="129" spans="1:7" ht="14.25">
      <c r="A129" s="530"/>
      <c r="B129" s="55">
        <v>2436</v>
      </c>
      <c r="C129" s="57" t="s">
        <v>70</v>
      </c>
      <c r="D129" s="58" t="s">
        <v>36</v>
      </c>
      <c r="E129" s="61">
        <v>0.2</v>
      </c>
      <c r="F129" s="48">
        <v>11.31</v>
      </c>
      <c r="G129" s="49">
        <f>E129*F129</f>
        <v>2.262</v>
      </c>
    </row>
    <row r="130" spans="1:7" ht="14.25">
      <c r="A130" s="50"/>
      <c r="B130" s="50"/>
      <c r="C130" s="51"/>
      <c r="D130" s="52"/>
      <c r="E130" s="53"/>
      <c r="F130" s="32" t="s">
        <v>35</v>
      </c>
      <c r="G130" s="32">
        <f>SUM(G127:G129)</f>
        <v>12.586</v>
      </c>
    </row>
    <row r="131" spans="2:7" ht="14.25">
      <c r="B131" s="70"/>
      <c r="C131" s="73"/>
      <c r="D131" s="70"/>
      <c r="E131" s="72"/>
      <c r="F131" s="73"/>
      <c r="G131" s="74"/>
    </row>
    <row r="132" spans="1:7" ht="28.5">
      <c r="A132" s="44" t="s">
        <v>37</v>
      </c>
      <c r="B132" s="44" t="s">
        <v>364</v>
      </c>
      <c r="C132" s="65" t="s">
        <v>30</v>
      </c>
      <c r="D132" s="45" t="s">
        <v>31</v>
      </c>
      <c r="E132" s="45" t="s">
        <v>32</v>
      </c>
      <c r="F132" s="46" t="s">
        <v>33</v>
      </c>
      <c r="G132" s="46" t="s">
        <v>34</v>
      </c>
    </row>
    <row r="133" spans="1:7" ht="14.25">
      <c r="A133" s="528" t="e">
        <f>#REF!</f>
        <v>#REF!</v>
      </c>
      <c r="B133" s="55"/>
      <c r="C133" s="66" t="s">
        <v>115</v>
      </c>
      <c r="D133" s="45"/>
      <c r="E133" s="47"/>
      <c r="F133" s="48"/>
      <c r="G133" s="49"/>
    </row>
    <row r="134" spans="1:7" ht="14.25">
      <c r="A134" s="529"/>
      <c r="B134" s="69" t="s">
        <v>97</v>
      </c>
      <c r="C134" s="34" t="s">
        <v>125</v>
      </c>
      <c r="D134" s="58" t="s">
        <v>57</v>
      </c>
      <c r="E134" s="59">
        <v>1</v>
      </c>
      <c r="F134" s="60">
        <v>6.34</v>
      </c>
      <c r="G134" s="49">
        <f>E134*F134</f>
        <v>6.34</v>
      </c>
    </row>
    <row r="135" spans="1:7" ht="14.25">
      <c r="A135" s="529"/>
      <c r="B135" s="55">
        <v>247</v>
      </c>
      <c r="C135" s="57" t="s">
        <v>284</v>
      </c>
      <c r="D135" s="58" t="s">
        <v>36</v>
      </c>
      <c r="E135" s="59">
        <v>0.7</v>
      </c>
      <c r="F135" s="60">
        <v>8.12</v>
      </c>
      <c r="G135" s="49">
        <f>E135*F135</f>
        <v>5.683999999999999</v>
      </c>
    </row>
    <row r="136" spans="1:7" ht="14.25">
      <c r="A136" s="530"/>
      <c r="B136" s="55">
        <v>2436</v>
      </c>
      <c r="C136" s="57" t="s">
        <v>70</v>
      </c>
      <c r="D136" s="58" t="s">
        <v>36</v>
      </c>
      <c r="E136" s="61">
        <v>0.7</v>
      </c>
      <c r="F136" s="48">
        <v>11.31</v>
      </c>
      <c r="G136" s="49">
        <f>E136*F136</f>
        <v>7.917</v>
      </c>
    </row>
    <row r="137" spans="1:7" ht="14.25">
      <c r="A137" s="50"/>
      <c r="B137" s="50"/>
      <c r="C137" s="51"/>
      <c r="D137" s="52"/>
      <c r="E137" s="53"/>
      <c r="F137" s="32" t="s">
        <v>35</v>
      </c>
      <c r="G137" s="32">
        <f>SUM(G134:G136)</f>
        <v>19.941</v>
      </c>
    </row>
    <row r="138" spans="1:7" ht="14.25">
      <c r="A138" s="50"/>
      <c r="B138" s="50"/>
      <c r="C138" s="51"/>
      <c r="D138" s="52"/>
      <c r="E138" s="53"/>
      <c r="F138" s="62"/>
      <c r="G138" s="62"/>
    </row>
    <row r="139" spans="1:7" ht="28.5">
      <c r="A139" s="44" t="s">
        <v>37</v>
      </c>
      <c r="B139" s="44" t="s">
        <v>364</v>
      </c>
      <c r="C139" s="44" t="s">
        <v>30</v>
      </c>
      <c r="D139" s="45" t="s">
        <v>31</v>
      </c>
      <c r="E139" s="45" t="s">
        <v>32</v>
      </c>
      <c r="F139" s="46" t="s">
        <v>33</v>
      </c>
      <c r="G139" s="46" t="s">
        <v>34</v>
      </c>
    </row>
    <row r="140" spans="1:7" ht="14.25">
      <c r="A140" s="528" t="e">
        <f>#REF!</f>
        <v>#REF!</v>
      </c>
      <c r="B140" s="55"/>
      <c r="C140" s="56" t="s">
        <v>108</v>
      </c>
      <c r="D140" s="45"/>
      <c r="E140" s="47"/>
      <c r="F140" s="48"/>
      <c r="G140" s="49"/>
    </row>
    <row r="141" spans="1:7" ht="14.25">
      <c r="A141" s="529"/>
      <c r="B141" s="55" t="s">
        <v>97</v>
      </c>
      <c r="C141" s="63" t="s">
        <v>129</v>
      </c>
      <c r="D141" s="58" t="s">
        <v>57</v>
      </c>
      <c r="E141" s="59">
        <v>1</v>
      </c>
      <c r="F141" s="60">
        <v>1.3</v>
      </c>
      <c r="G141" s="49">
        <f>E141*F141</f>
        <v>1.3</v>
      </c>
    </row>
    <row r="142" spans="1:7" ht="14.25">
      <c r="A142" s="529"/>
      <c r="B142" s="55">
        <v>247</v>
      </c>
      <c r="C142" s="57" t="s">
        <v>284</v>
      </c>
      <c r="D142" s="58" t="s">
        <v>36</v>
      </c>
      <c r="E142" s="59">
        <v>0.1</v>
      </c>
      <c r="F142" s="60">
        <v>8.12</v>
      </c>
      <c r="G142" s="49">
        <f>E142*F142</f>
        <v>0.8119999999999999</v>
      </c>
    </row>
    <row r="143" spans="1:7" ht="14.25">
      <c r="A143" s="530"/>
      <c r="B143" s="55">
        <v>2436</v>
      </c>
      <c r="C143" s="63" t="s">
        <v>70</v>
      </c>
      <c r="D143" s="58" t="s">
        <v>36</v>
      </c>
      <c r="E143" s="61">
        <v>0.1</v>
      </c>
      <c r="F143" s="48">
        <v>11.31</v>
      </c>
      <c r="G143" s="49">
        <f>E143*F143</f>
        <v>1.131</v>
      </c>
    </row>
    <row r="144" spans="1:7" ht="14.25">
      <c r="A144" s="50"/>
      <c r="B144" s="50"/>
      <c r="C144" s="64"/>
      <c r="D144" s="52"/>
      <c r="E144" s="53"/>
      <c r="F144" s="32" t="s">
        <v>35</v>
      </c>
      <c r="G144" s="32">
        <f>SUM(G141:G143)</f>
        <v>3.2430000000000003</v>
      </c>
    </row>
    <row r="145" spans="1:7" ht="14.25">
      <c r="A145" s="50"/>
      <c r="B145" s="50"/>
      <c r="C145" s="64"/>
      <c r="D145" s="52"/>
      <c r="E145" s="53"/>
      <c r="F145" s="62"/>
      <c r="G145" s="62"/>
    </row>
    <row r="146" spans="1:7" ht="28.5">
      <c r="A146" s="44" t="s">
        <v>37</v>
      </c>
      <c r="B146" s="44" t="s">
        <v>364</v>
      </c>
      <c r="C146" s="65" t="s">
        <v>30</v>
      </c>
      <c r="D146" s="45" t="s">
        <v>31</v>
      </c>
      <c r="E146" s="45" t="s">
        <v>32</v>
      </c>
      <c r="F146" s="46" t="s">
        <v>33</v>
      </c>
      <c r="G146" s="46" t="s">
        <v>34</v>
      </c>
    </row>
    <row r="147" spans="1:7" ht="14.25">
      <c r="A147" s="528" t="e">
        <f>#REF!</f>
        <v>#REF!</v>
      </c>
      <c r="B147" s="55"/>
      <c r="C147" s="66" t="s">
        <v>109</v>
      </c>
      <c r="D147" s="45"/>
      <c r="E147" s="47"/>
      <c r="F147" s="48"/>
      <c r="G147" s="49"/>
    </row>
    <row r="148" spans="1:7" ht="14.25">
      <c r="A148" s="529"/>
      <c r="B148" s="55" t="s">
        <v>97</v>
      </c>
      <c r="C148" s="67" t="s">
        <v>132</v>
      </c>
      <c r="D148" s="58" t="s">
        <v>57</v>
      </c>
      <c r="E148" s="59">
        <v>1</v>
      </c>
      <c r="F148" s="60">
        <v>210</v>
      </c>
      <c r="G148" s="49">
        <f>E148*F148</f>
        <v>210</v>
      </c>
    </row>
    <row r="149" spans="1:7" ht="14.25">
      <c r="A149" s="529"/>
      <c r="B149" s="55">
        <v>247</v>
      </c>
      <c r="C149" s="57" t="s">
        <v>284</v>
      </c>
      <c r="D149" s="58" t="s">
        <v>36</v>
      </c>
      <c r="E149" s="59">
        <v>1.5</v>
      </c>
      <c r="F149" s="60">
        <v>8.12</v>
      </c>
      <c r="G149" s="49">
        <f>E149*F149</f>
        <v>12.18</v>
      </c>
    </row>
    <row r="150" spans="1:7" ht="14.25">
      <c r="A150" s="530"/>
      <c r="B150" s="55">
        <v>2436</v>
      </c>
      <c r="C150" s="63" t="s">
        <v>70</v>
      </c>
      <c r="D150" s="58" t="s">
        <v>36</v>
      </c>
      <c r="E150" s="61">
        <v>1.5</v>
      </c>
      <c r="F150" s="48">
        <v>11.31</v>
      </c>
      <c r="G150" s="49">
        <f>E150*F150</f>
        <v>16.965</v>
      </c>
    </row>
    <row r="151" spans="1:7" ht="14.25">
      <c r="A151" s="50"/>
      <c r="B151" s="50"/>
      <c r="C151" s="64"/>
      <c r="D151" s="52"/>
      <c r="E151" s="53"/>
      <c r="F151" s="32" t="s">
        <v>35</v>
      </c>
      <c r="G151" s="32">
        <f>SUM(G148:G150)</f>
        <v>239.145</v>
      </c>
    </row>
    <row r="152" spans="1:7" ht="14.25">
      <c r="A152" s="50"/>
      <c r="B152" s="50"/>
      <c r="C152" s="64"/>
      <c r="D152" s="52"/>
      <c r="E152" s="53"/>
      <c r="F152" s="62"/>
      <c r="G152" s="62"/>
    </row>
    <row r="153" spans="1:7" ht="28.5">
      <c r="A153" s="44" t="s">
        <v>37</v>
      </c>
      <c r="B153" s="44" t="s">
        <v>364</v>
      </c>
      <c r="C153" s="65" t="s">
        <v>30</v>
      </c>
      <c r="D153" s="45" t="s">
        <v>31</v>
      </c>
      <c r="E153" s="45" t="s">
        <v>32</v>
      </c>
      <c r="F153" s="46" t="s">
        <v>33</v>
      </c>
      <c r="G153" s="46" t="s">
        <v>34</v>
      </c>
    </row>
    <row r="154" spans="1:7" ht="14.25">
      <c r="A154" s="528" t="e">
        <f>#REF!</f>
        <v>#REF!</v>
      </c>
      <c r="B154" s="55"/>
      <c r="C154" s="66" t="s">
        <v>126</v>
      </c>
      <c r="D154" s="45"/>
      <c r="E154" s="47"/>
      <c r="F154" s="48"/>
      <c r="G154" s="49"/>
    </row>
    <row r="155" spans="1:7" ht="14.25">
      <c r="A155" s="529"/>
      <c r="B155" s="69" t="s">
        <v>97</v>
      </c>
      <c r="C155" s="34" t="s">
        <v>138</v>
      </c>
      <c r="D155" s="58" t="s">
        <v>57</v>
      </c>
      <c r="E155" s="59">
        <v>1</v>
      </c>
      <c r="F155" s="60">
        <v>20.54</v>
      </c>
      <c r="G155" s="49">
        <f>E155*F155</f>
        <v>20.54</v>
      </c>
    </row>
    <row r="156" spans="1:7" ht="14.25">
      <c r="A156" s="529"/>
      <c r="B156" s="55">
        <v>247</v>
      </c>
      <c r="C156" s="57" t="s">
        <v>284</v>
      </c>
      <c r="D156" s="58" t="s">
        <v>36</v>
      </c>
      <c r="E156" s="59">
        <v>0.2</v>
      </c>
      <c r="F156" s="60">
        <v>8.12</v>
      </c>
      <c r="G156" s="49">
        <f>E156*F156</f>
        <v>1.6239999999999999</v>
      </c>
    </row>
    <row r="157" spans="1:7" ht="14.25">
      <c r="A157" s="530"/>
      <c r="B157" s="55">
        <v>2436</v>
      </c>
      <c r="C157" s="57" t="s">
        <v>70</v>
      </c>
      <c r="D157" s="58" t="s">
        <v>36</v>
      </c>
      <c r="E157" s="61">
        <v>0.2</v>
      </c>
      <c r="F157" s="48">
        <v>11.31</v>
      </c>
      <c r="G157" s="49">
        <f>E157*F157</f>
        <v>2.262</v>
      </c>
    </row>
    <row r="158" spans="1:7" ht="14.25">
      <c r="A158" s="50"/>
      <c r="B158" s="50"/>
      <c r="C158" s="51"/>
      <c r="D158" s="52"/>
      <c r="E158" s="53"/>
      <c r="F158" s="32" t="s">
        <v>35</v>
      </c>
      <c r="G158" s="32">
        <f>SUM(G155:G157)</f>
        <v>24.426</v>
      </c>
    </row>
    <row r="159" spans="1:7" ht="14.25">
      <c r="A159" s="50"/>
      <c r="B159" s="50"/>
      <c r="C159" s="51"/>
      <c r="D159" s="52"/>
      <c r="E159" s="53"/>
      <c r="F159" s="62"/>
      <c r="G159" s="62"/>
    </row>
    <row r="160" spans="1:7" ht="28.5">
      <c r="A160" s="44" t="s">
        <v>37</v>
      </c>
      <c r="B160" s="44" t="s">
        <v>364</v>
      </c>
      <c r="C160" s="65" t="s">
        <v>30</v>
      </c>
      <c r="D160" s="45" t="s">
        <v>31</v>
      </c>
      <c r="E160" s="45" t="s">
        <v>32</v>
      </c>
      <c r="F160" s="46" t="s">
        <v>33</v>
      </c>
      <c r="G160" s="46" t="s">
        <v>34</v>
      </c>
    </row>
    <row r="161" spans="1:7" ht="14.25">
      <c r="A161" s="531" t="e">
        <f>#REF!</f>
        <v>#REF!</v>
      </c>
      <c r="B161" s="55"/>
      <c r="C161" s="96" t="s">
        <v>326</v>
      </c>
      <c r="D161" s="97" t="s">
        <v>170</v>
      </c>
      <c r="E161" s="98"/>
      <c r="F161" s="99"/>
      <c r="G161" s="99"/>
    </row>
    <row r="162" spans="1:7" ht="14.25">
      <c r="A162" s="531"/>
      <c r="B162" s="35" t="s">
        <v>97</v>
      </c>
      <c r="C162" s="57" t="s">
        <v>327</v>
      </c>
      <c r="D162" s="58" t="s">
        <v>57</v>
      </c>
      <c r="E162" s="100">
        <v>1</v>
      </c>
      <c r="F162" s="101">
        <f>1082.41</f>
        <v>1082.41</v>
      </c>
      <c r="G162" s="102">
        <f>ROUND(E162*F162,2)</f>
        <v>1082.41</v>
      </c>
    </row>
    <row r="163" spans="1:7" ht="14.25">
      <c r="A163" s="531"/>
      <c r="B163" s="55">
        <v>247</v>
      </c>
      <c r="C163" s="57" t="s">
        <v>284</v>
      </c>
      <c r="D163" s="58" t="s">
        <v>36</v>
      </c>
      <c r="E163" s="100">
        <v>16</v>
      </c>
      <c r="F163" s="60">
        <v>8.12</v>
      </c>
      <c r="G163" s="102">
        <f>ROUND(E163*F163,2)</f>
        <v>129.92</v>
      </c>
    </row>
    <row r="164" spans="1:7" ht="14.25">
      <c r="A164" s="531"/>
      <c r="B164" s="55">
        <v>2436</v>
      </c>
      <c r="C164" s="57" t="s">
        <v>250</v>
      </c>
      <c r="D164" s="58" t="s">
        <v>36</v>
      </c>
      <c r="E164" s="103">
        <v>16</v>
      </c>
      <c r="F164" s="48">
        <v>11.31</v>
      </c>
      <c r="G164" s="102">
        <f>ROUND(E164*F164,2)</f>
        <v>180.96</v>
      </c>
    </row>
    <row r="165" spans="1:7" ht="14.25">
      <c r="A165" s="50"/>
      <c r="B165" s="50"/>
      <c r="C165" s="51"/>
      <c r="D165" s="52"/>
      <c r="E165" s="53"/>
      <c r="F165" s="54" t="s">
        <v>35</v>
      </c>
      <c r="G165" s="54">
        <f>SUM(G162:G164)</f>
        <v>1393.2900000000002</v>
      </c>
    </row>
    <row r="166" spans="1:7" ht="14.25">
      <c r="A166" s="50"/>
      <c r="B166" s="50"/>
      <c r="C166" s="51"/>
      <c r="D166" s="52"/>
      <c r="E166" s="53"/>
      <c r="F166" s="62"/>
      <c r="G166" s="62"/>
    </row>
    <row r="167" spans="1:7" ht="28.5">
      <c r="A167" s="44" t="s">
        <v>37</v>
      </c>
      <c r="B167" s="44" t="s">
        <v>364</v>
      </c>
      <c r="C167" s="65" t="s">
        <v>30</v>
      </c>
      <c r="D167" s="45" t="s">
        <v>31</v>
      </c>
      <c r="E167" s="45" t="s">
        <v>32</v>
      </c>
      <c r="F167" s="46" t="s">
        <v>33</v>
      </c>
      <c r="G167" s="46" t="s">
        <v>34</v>
      </c>
    </row>
    <row r="168" spans="1:7" ht="28.5">
      <c r="A168" s="531" t="e">
        <f>#REF!</f>
        <v>#REF!</v>
      </c>
      <c r="B168" s="55"/>
      <c r="C168" s="96" t="s">
        <v>239</v>
      </c>
      <c r="D168" s="97" t="s">
        <v>170</v>
      </c>
      <c r="E168" s="98"/>
      <c r="F168" s="104"/>
      <c r="G168" s="104"/>
    </row>
    <row r="169" spans="1:7" ht="14.25">
      <c r="A169" s="531"/>
      <c r="B169" s="35" t="s">
        <v>97</v>
      </c>
      <c r="C169" s="57" t="s">
        <v>251</v>
      </c>
      <c r="D169" s="58" t="s">
        <v>57</v>
      </c>
      <c r="E169" s="100">
        <v>1</v>
      </c>
      <c r="F169" s="105">
        <v>236.53</v>
      </c>
      <c r="G169" s="102">
        <f>ROUND(E169*F169,2)</f>
        <v>236.53</v>
      </c>
    </row>
    <row r="170" spans="1:7" ht="14.25">
      <c r="A170" s="531"/>
      <c r="B170" s="55">
        <v>247</v>
      </c>
      <c r="C170" s="57" t="s">
        <v>284</v>
      </c>
      <c r="D170" s="58" t="s">
        <v>36</v>
      </c>
      <c r="E170" s="103">
        <v>1</v>
      </c>
      <c r="F170" s="60">
        <v>8.12</v>
      </c>
      <c r="G170" s="102">
        <f>ROUND(E170*F170,2)</f>
        <v>8.12</v>
      </c>
    </row>
    <row r="171" spans="1:7" ht="14.25">
      <c r="A171" s="531"/>
      <c r="B171" s="55">
        <v>2436</v>
      </c>
      <c r="C171" s="57" t="s">
        <v>250</v>
      </c>
      <c r="D171" s="58" t="s">
        <v>36</v>
      </c>
      <c r="E171" s="103">
        <v>1</v>
      </c>
      <c r="F171" s="48">
        <v>11.31</v>
      </c>
      <c r="G171" s="102">
        <f>ROUND(E171*F171,2)</f>
        <v>11.31</v>
      </c>
    </row>
    <row r="172" spans="1:7" ht="14.25">
      <c r="A172" s="50"/>
      <c r="B172" s="50"/>
      <c r="C172" s="51"/>
      <c r="D172" s="52"/>
      <c r="E172" s="53"/>
      <c r="F172" s="54" t="s">
        <v>35</v>
      </c>
      <c r="G172" s="54">
        <f>SUM(G169:G171)</f>
        <v>255.96</v>
      </c>
    </row>
    <row r="173" spans="2:7" ht="14.25">
      <c r="B173" s="37"/>
      <c r="F173" s="37"/>
      <c r="G173" s="37"/>
    </row>
    <row r="174" spans="1:7" ht="28.5">
      <c r="A174" s="44" t="s">
        <v>37</v>
      </c>
      <c r="B174" s="44" t="s">
        <v>364</v>
      </c>
      <c r="C174" s="65" t="s">
        <v>30</v>
      </c>
      <c r="D174" s="45" t="s">
        <v>31</v>
      </c>
      <c r="E174" s="45" t="s">
        <v>32</v>
      </c>
      <c r="F174" s="46" t="s">
        <v>33</v>
      </c>
      <c r="G174" s="46" t="s">
        <v>34</v>
      </c>
    </row>
    <row r="175" spans="1:7" ht="14.25">
      <c r="A175" s="531" t="e">
        <f>#REF!</f>
        <v>#REF!</v>
      </c>
      <c r="B175" s="55"/>
      <c r="C175" s="96" t="s">
        <v>240</v>
      </c>
      <c r="D175" s="97" t="s">
        <v>170</v>
      </c>
      <c r="E175" s="98"/>
      <c r="F175" s="99"/>
      <c r="G175" s="99"/>
    </row>
    <row r="176" spans="1:7" ht="14.25">
      <c r="A176" s="531"/>
      <c r="B176" s="35" t="s">
        <v>97</v>
      </c>
      <c r="C176" s="57" t="s">
        <v>252</v>
      </c>
      <c r="D176" s="58" t="s">
        <v>57</v>
      </c>
      <c r="E176" s="100">
        <v>1</v>
      </c>
      <c r="F176" s="106">
        <v>0.57</v>
      </c>
      <c r="G176" s="102">
        <f>ROUND(E176*F176,2)</f>
        <v>0.57</v>
      </c>
    </row>
    <row r="177" spans="1:7" ht="14.25">
      <c r="A177" s="531"/>
      <c r="B177" s="55">
        <v>247</v>
      </c>
      <c r="C177" s="57" t="s">
        <v>284</v>
      </c>
      <c r="D177" s="58" t="s">
        <v>36</v>
      </c>
      <c r="E177" s="103">
        <v>0.05</v>
      </c>
      <c r="F177" s="60">
        <v>8.12</v>
      </c>
      <c r="G177" s="102">
        <f>ROUND(E177*F177,2)</f>
        <v>0.41</v>
      </c>
    </row>
    <row r="178" spans="1:7" ht="14.25">
      <c r="A178" s="531"/>
      <c r="B178" s="55">
        <v>2436</v>
      </c>
      <c r="C178" s="57" t="s">
        <v>250</v>
      </c>
      <c r="D178" s="58" t="s">
        <v>36</v>
      </c>
      <c r="E178" s="103">
        <v>0.05</v>
      </c>
      <c r="F178" s="48">
        <v>11.31</v>
      </c>
      <c r="G178" s="102">
        <f>ROUND(E178*F178,2)</f>
        <v>0.57</v>
      </c>
    </row>
    <row r="179" spans="1:7" ht="14.25">
      <c r="A179" s="50"/>
      <c r="B179" s="50"/>
      <c r="C179" s="51"/>
      <c r="D179" s="52"/>
      <c r="E179" s="53"/>
      <c r="F179" s="54" t="s">
        <v>35</v>
      </c>
      <c r="G179" s="54">
        <f>SUM(G176:G178)</f>
        <v>1.5499999999999998</v>
      </c>
    </row>
    <row r="180" spans="1:7" ht="14.25">
      <c r="A180" s="50"/>
      <c r="B180" s="50"/>
      <c r="C180" s="51"/>
      <c r="D180" s="52"/>
      <c r="E180" s="53"/>
      <c r="F180" s="62"/>
      <c r="G180" s="62"/>
    </row>
    <row r="181" spans="1:7" ht="28.5">
      <c r="A181" s="44" t="s">
        <v>37</v>
      </c>
      <c r="B181" s="44" t="s">
        <v>364</v>
      </c>
      <c r="C181" s="65" t="s">
        <v>30</v>
      </c>
      <c r="D181" s="45" t="s">
        <v>31</v>
      </c>
      <c r="E181" s="45" t="s">
        <v>32</v>
      </c>
      <c r="F181" s="46" t="s">
        <v>33</v>
      </c>
      <c r="G181" s="46" t="s">
        <v>34</v>
      </c>
    </row>
    <row r="182" spans="1:7" ht="14.25">
      <c r="A182" s="531" t="e">
        <f>#REF!</f>
        <v>#REF!</v>
      </c>
      <c r="B182" s="55"/>
      <c r="C182" s="96" t="s">
        <v>241</v>
      </c>
      <c r="D182" s="97" t="s">
        <v>170</v>
      </c>
      <c r="E182" s="98"/>
      <c r="F182" s="99"/>
      <c r="G182" s="99"/>
    </row>
    <row r="183" spans="1:7" ht="14.25">
      <c r="A183" s="531"/>
      <c r="B183" s="35" t="s">
        <v>97</v>
      </c>
      <c r="C183" s="57" t="s">
        <v>253</v>
      </c>
      <c r="D183" s="58" t="s">
        <v>57</v>
      </c>
      <c r="E183" s="100">
        <v>1</v>
      </c>
      <c r="F183" s="106">
        <v>6.11</v>
      </c>
      <c r="G183" s="102">
        <f>ROUND(E183*F183,2)</f>
        <v>6.11</v>
      </c>
    </row>
    <row r="184" spans="1:7" ht="14.25">
      <c r="A184" s="531"/>
      <c r="B184" s="55">
        <v>247</v>
      </c>
      <c r="C184" s="57" t="s">
        <v>284</v>
      </c>
      <c r="D184" s="58" t="s">
        <v>36</v>
      </c>
      <c r="E184" s="103">
        <v>0.05</v>
      </c>
      <c r="F184" s="60">
        <v>8.12</v>
      </c>
      <c r="G184" s="102">
        <f>ROUND(E184*F184,2)</f>
        <v>0.41</v>
      </c>
    </row>
    <row r="185" spans="1:7" ht="14.25">
      <c r="A185" s="531"/>
      <c r="B185" s="55">
        <v>2436</v>
      </c>
      <c r="C185" s="57" t="s">
        <v>250</v>
      </c>
      <c r="D185" s="58" t="s">
        <v>36</v>
      </c>
      <c r="E185" s="103">
        <v>0.05</v>
      </c>
      <c r="F185" s="48">
        <v>11.31</v>
      </c>
      <c r="G185" s="102">
        <f>ROUND(E185*F185,2)</f>
        <v>0.57</v>
      </c>
    </row>
    <row r="186" spans="1:7" ht="14.25">
      <c r="A186" s="50"/>
      <c r="B186" s="50"/>
      <c r="C186" s="51"/>
      <c r="D186" s="52"/>
      <c r="E186" s="53"/>
      <c r="F186" s="54" t="s">
        <v>35</v>
      </c>
      <c r="G186" s="54">
        <f>SUM(G183:G185)</f>
        <v>7.090000000000001</v>
      </c>
    </row>
    <row r="187" spans="1:7" ht="14.25">
      <c r="A187" s="50"/>
      <c r="B187" s="50"/>
      <c r="C187" s="51"/>
      <c r="D187" s="52"/>
      <c r="E187" s="53"/>
      <c r="F187" s="62"/>
      <c r="G187" s="62"/>
    </row>
    <row r="188" spans="1:7" ht="14.25">
      <c r="A188" s="50"/>
      <c r="B188" s="50"/>
      <c r="C188" s="51"/>
      <c r="D188" s="52"/>
      <c r="E188" s="53"/>
      <c r="F188" s="62"/>
      <c r="G188" s="62"/>
    </row>
    <row r="189" spans="1:7" ht="28.5">
      <c r="A189" s="44" t="s">
        <v>37</v>
      </c>
      <c r="B189" s="44" t="s">
        <v>364</v>
      </c>
      <c r="C189" s="65" t="s">
        <v>30</v>
      </c>
      <c r="D189" s="45" t="s">
        <v>31</v>
      </c>
      <c r="E189" s="45" t="s">
        <v>32</v>
      </c>
      <c r="F189" s="46" t="s">
        <v>33</v>
      </c>
      <c r="G189" s="46" t="s">
        <v>34</v>
      </c>
    </row>
    <row r="190" spans="1:7" ht="28.5">
      <c r="A190" s="531" t="e">
        <f>#REF!</f>
        <v>#REF!</v>
      </c>
      <c r="B190" s="55"/>
      <c r="C190" s="96" t="s">
        <v>242</v>
      </c>
      <c r="D190" s="97" t="s">
        <v>170</v>
      </c>
      <c r="E190" s="98"/>
      <c r="F190" s="99"/>
      <c r="G190" s="99"/>
    </row>
    <row r="191" spans="1:7" ht="14.25">
      <c r="A191" s="531"/>
      <c r="B191" s="35" t="s">
        <v>97</v>
      </c>
      <c r="C191" s="57" t="s">
        <v>254</v>
      </c>
      <c r="D191" s="58" t="s">
        <v>57</v>
      </c>
      <c r="E191" s="103">
        <v>1</v>
      </c>
      <c r="F191" s="106">
        <v>19.2</v>
      </c>
      <c r="G191" s="102">
        <f>ROUND(E191*F191,2)</f>
        <v>19.2</v>
      </c>
    </row>
    <row r="192" spans="1:7" ht="14.25">
      <c r="A192" s="531"/>
      <c r="B192" s="55">
        <v>247</v>
      </c>
      <c r="C192" s="57" t="s">
        <v>284</v>
      </c>
      <c r="D192" s="58" t="s">
        <v>36</v>
      </c>
      <c r="E192" s="103">
        <v>0.15</v>
      </c>
      <c r="F192" s="60">
        <v>8.12</v>
      </c>
      <c r="G192" s="102">
        <f>ROUND(E192*F192,2)</f>
        <v>1.22</v>
      </c>
    </row>
    <row r="193" spans="1:7" ht="14.25">
      <c r="A193" s="531"/>
      <c r="B193" s="55">
        <v>2436</v>
      </c>
      <c r="C193" s="57" t="s">
        <v>250</v>
      </c>
      <c r="D193" s="58" t="s">
        <v>36</v>
      </c>
      <c r="E193" s="103">
        <v>0.15</v>
      </c>
      <c r="F193" s="48">
        <v>11.31</v>
      </c>
      <c r="G193" s="102">
        <f>ROUND(E193*F193,2)</f>
        <v>1.7</v>
      </c>
    </row>
    <row r="194" spans="1:7" ht="14.25">
      <c r="A194" s="50"/>
      <c r="B194" s="50"/>
      <c r="C194" s="51"/>
      <c r="D194" s="52"/>
      <c r="E194" s="53"/>
      <c r="F194" s="54" t="s">
        <v>35</v>
      </c>
      <c r="G194" s="54">
        <f>SUM(G191:G193)</f>
        <v>22.119999999999997</v>
      </c>
    </row>
    <row r="195" spans="1:7" ht="14.25">
      <c r="A195" s="50"/>
      <c r="B195" s="50"/>
      <c r="C195" s="51"/>
      <c r="D195" s="52"/>
      <c r="E195" s="53"/>
      <c r="F195" s="62"/>
      <c r="G195" s="62"/>
    </row>
    <row r="196" spans="1:7" ht="14.25">
      <c r="A196" s="50"/>
      <c r="B196" s="50"/>
      <c r="C196" s="51"/>
      <c r="D196" s="52"/>
      <c r="E196" s="53"/>
      <c r="F196" s="62"/>
      <c r="G196" s="62"/>
    </row>
    <row r="197" spans="1:7" ht="28.5">
      <c r="A197" s="44" t="s">
        <v>37</v>
      </c>
      <c r="B197" s="44" t="s">
        <v>364</v>
      </c>
      <c r="C197" s="65" t="s">
        <v>30</v>
      </c>
      <c r="D197" s="45" t="s">
        <v>31</v>
      </c>
      <c r="E197" s="45" t="s">
        <v>32</v>
      </c>
      <c r="F197" s="46" t="s">
        <v>33</v>
      </c>
      <c r="G197" s="46" t="s">
        <v>34</v>
      </c>
    </row>
    <row r="198" spans="1:7" ht="28.5">
      <c r="A198" s="531" t="e">
        <f>#REF!</f>
        <v>#REF!</v>
      </c>
      <c r="B198" s="55"/>
      <c r="C198" s="56" t="s">
        <v>243</v>
      </c>
      <c r="D198" s="97" t="s">
        <v>170</v>
      </c>
      <c r="E198" s="98"/>
      <c r="F198" s="107"/>
      <c r="G198" s="99"/>
    </row>
    <row r="199" spans="1:7" ht="14.25">
      <c r="A199" s="531"/>
      <c r="B199" s="35" t="s">
        <v>97</v>
      </c>
      <c r="C199" s="57" t="s">
        <v>255</v>
      </c>
      <c r="D199" s="58" t="s">
        <v>57</v>
      </c>
      <c r="E199" s="103">
        <v>1</v>
      </c>
      <c r="F199" s="106">
        <v>55.328</v>
      </c>
      <c r="G199" s="102">
        <f>ROUND(E199*F199,2)</f>
        <v>55.33</v>
      </c>
    </row>
    <row r="200" spans="1:7" ht="14.25">
      <c r="A200" s="531"/>
      <c r="B200" s="55">
        <v>247</v>
      </c>
      <c r="C200" s="57" t="s">
        <v>284</v>
      </c>
      <c r="D200" s="58" t="s">
        <v>36</v>
      </c>
      <c r="E200" s="103">
        <v>0.3</v>
      </c>
      <c r="F200" s="60">
        <v>8.12</v>
      </c>
      <c r="G200" s="102">
        <f>ROUND(E200*F200,2)</f>
        <v>2.44</v>
      </c>
    </row>
    <row r="201" spans="1:7" ht="14.25">
      <c r="A201" s="531"/>
      <c r="B201" s="55">
        <v>2436</v>
      </c>
      <c r="C201" s="57" t="s">
        <v>250</v>
      </c>
      <c r="D201" s="58" t="s">
        <v>36</v>
      </c>
      <c r="E201" s="103">
        <v>0.3</v>
      </c>
      <c r="F201" s="48">
        <v>11.31</v>
      </c>
      <c r="G201" s="102">
        <f>ROUND(E201*F201,2)</f>
        <v>3.39</v>
      </c>
    </row>
    <row r="202" spans="1:7" ht="14.25">
      <c r="A202" s="50"/>
      <c r="B202" s="50"/>
      <c r="C202" s="51"/>
      <c r="D202" s="52"/>
      <c r="E202" s="53"/>
      <c r="F202" s="54" t="s">
        <v>35</v>
      </c>
      <c r="G202" s="54">
        <f>SUM(G199:G201)</f>
        <v>61.16</v>
      </c>
    </row>
    <row r="203" spans="1:7" ht="14.25">
      <c r="A203" s="50"/>
      <c r="B203" s="50"/>
      <c r="C203" s="51"/>
      <c r="D203" s="52"/>
      <c r="E203" s="53"/>
      <c r="F203" s="62"/>
      <c r="G203" s="62"/>
    </row>
    <row r="204" spans="1:7" ht="14.25">
      <c r="A204" s="50"/>
      <c r="B204" s="50"/>
      <c r="C204" s="51"/>
      <c r="D204" s="52"/>
      <c r="E204" s="53"/>
      <c r="F204" s="62"/>
      <c r="G204" s="62"/>
    </row>
    <row r="205" spans="1:7" ht="28.5">
      <c r="A205" s="44" t="s">
        <v>37</v>
      </c>
      <c r="B205" s="44" t="s">
        <v>364</v>
      </c>
      <c r="C205" s="65" t="s">
        <v>30</v>
      </c>
      <c r="D205" s="45" t="s">
        <v>31</v>
      </c>
      <c r="E205" s="45" t="s">
        <v>32</v>
      </c>
      <c r="F205" s="46" t="s">
        <v>33</v>
      </c>
      <c r="G205" s="46" t="s">
        <v>34</v>
      </c>
    </row>
    <row r="206" spans="1:7" ht="14.25">
      <c r="A206" s="531" t="e">
        <f>#REF!</f>
        <v>#REF!</v>
      </c>
      <c r="B206" s="55"/>
      <c r="C206" s="56" t="s">
        <v>244</v>
      </c>
      <c r="D206" s="97" t="s">
        <v>170</v>
      </c>
      <c r="E206" s="98"/>
      <c r="F206" s="107"/>
      <c r="G206" s="99"/>
    </row>
    <row r="207" spans="1:7" ht="14.25">
      <c r="A207" s="531"/>
      <c r="B207" s="35" t="s">
        <v>97</v>
      </c>
      <c r="C207" s="57" t="s">
        <v>256</v>
      </c>
      <c r="D207" s="58" t="s">
        <v>57</v>
      </c>
      <c r="E207" s="103">
        <v>1</v>
      </c>
      <c r="F207" s="106">
        <v>92.51</v>
      </c>
      <c r="G207" s="102">
        <f>ROUND(E207*F207,2)</f>
        <v>92.51</v>
      </c>
    </row>
    <row r="208" spans="1:7" ht="14.25">
      <c r="A208" s="531"/>
      <c r="B208" s="55">
        <v>247</v>
      </c>
      <c r="C208" s="57" t="s">
        <v>284</v>
      </c>
      <c r="D208" s="58" t="s">
        <v>36</v>
      </c>
      <c r="E208" s="103">
        <v>0.3</v>
      </c>
      <c r="F208" s="60">
        <v>8.12</v>
      </c>
      <c r="G208" s="102">
        <f>ROUND(E208*F208,2)</f>
        <v>2.44</v>
      </c>
    </row>
    <row r="209" spans="1:7" ht="14.25">
      <c r="A209" s="531"/>
      <c r="B209" s="55">
        <v>2436</v>
      </c>
      <c r="C209" s="57" t="s">
        <v>250</v>
      </c>
      <c r="D209" s="58" t="s">
        <v>36</v>
      </c>
      <c r="E209" s="103">
        <v>0.3</v>
      </c>
      <c r="F209" s="48">
        <v>11.31</v>
      </c>
      <c r="G209" s="102">
        <f>ROUND(E209*F209,2)</f>
        <v>3.39</v>
      </c>
    </row>
    <row r="210" spans="1:7" ht="14.25">
      <c r="A210" s="50"/>
      <c r="B210" s="50"/>
      <c r="C210" s="51"/>
      <c r="D210" s="52"/>
      <c r="E210" s="53"/>
      <c r="F210" s="54" t="s">
        <v>35</v>
      </c>
      <c r="G210" s="54">
        <f>SUM(G207:G209)</f>
        <v>98.34</v>
      </c>
    </row>
    <row r="211" spans="1:7" ht="14.25">
      <c r="A211" s="50"/>
      <c r="B211" s="50"/>
      <c r="C211" s="51"/>
      <c r="D211" s="52"/>
      <c r="E211" s="53"/>
      <c r="F211" s="62"/>
      <c r="G211" s="62"/>
    </row>
    <row r="212" spans="1:7" ht="28.5">
      <c r="A212" s="44" t="s">
        <v>37</v>
      </c>
      <c r="B212" s="44" t="s">
        <v>364</v>
      </c>
      <c r="C212" s="65" t="s">
        <v>30</v>
      </c>
      <c r="D212" s="45" t="s">
        <v>31</v>
      </c>
      <c r="E212" s="45" t="s">
        <v>32</v>
      </c>
      <c r="F212" s="46" t="s">
        <v>33</v>
      </c>
      <c r="G212" s="46" t="s">
        <v>34</v>
      </c>
    </row>
    <row r="213" spans="1:7" ht="14.25">
      <c r="A213" s="531" t="e">
        <f>#REF!</f>
        <v>#REF!</v>
      </c>
      <c r="B213" s="55"/>
      <c r="C213" s="56" t="s">
        <v>245</v>
      </c>
      <c r="D213" s="97" t="s">
        <v>170</v>
      </c>
      <c r="E213" s="98"/>
      <c r="F213" s="107"/>
      <c r="G213" s="99"/>
    </row>
    <row r="214" spans="1:7" ht="14.25">
      <c r="A214" s="531"/>
      <c r="B214" s="35" t="s">
        <v>97</v>
      </c>
      <c r="C214" s="57" t="s">
        <v>257</v>
      </c>
      <c r="D214" s="58" t="s">
        <v>57</v>
      </c>
      <c r="E214" s="103">
        <v>1</v>
      </c>
      <c r="F214" s="106">
        <v>70.09</v>
      </c>
      <c r="G214" s="102">
        <f>ROUND(E214*F214,2)</f>
        <v>70.09</v>
      </c>
    </row>
    <row r="215" spans="1:7" ht="14.25">
      <c r="A215" s="531"/>
      <c r="B215" s="55">
        <v>247</v>
      </c>
      <c r="C215" s="57" t="s">
        <v>284</v>
      </c>
      <c r="D215" s="58" t="s">
        <v>36</v>
      </c>
      <c r="E215" s="103">
        <v>0.5</v>
      </c>
      <c r="F215" s="60">
        <v>8.12</v>
      </c>
      <c r="G215" s="102">
        <f>ROUND(E215*F215,2)</f>
        <v>4.06</v>
      </c>
    </row>
    <row r="216" spans="1:7" ht="14.25">
      <c r="A216" s="531"/>
      <c r="B216" s="55">
        <v>2436</v>
      </c>
      <c r="C216" s="57" t="s">
        <v>250</v>
      </c>
      <c r="D216" s="58" t="s">
        <v>36</v>
      </c>
      <c r="E216" s="103">
        <v>0.5</v>
      </c>
      <c r="F216" s="48">
        <v>11.31</v>
      </c>
      <c r="G216" s="102">
        <f>ROUND(E216*F216,2)</f>
        <v>5.66</v>
      </c>
    </row>
    <row r="217" spans="1:7" ht="14.25">
      <c r="A217" s="50"/>
      <c r="B217" s="50"/>
      <c r="C217" s="51"/>
      <c r="D217" s="52"/>
      <c r="E217" s="53"/>
      <c r="F217" s="54" t="s">
        <v>35</v>
      </c>
      <c r="G217" s="54">
        <f>SUM(G214:G216)</f>
        <v>79.81</v>
      </c>
    </row>
    <row r="218" spans="1:7" ht="14.25">
      <c r="A218" s="50"/>
      <c r="B218" s="50"/>
      <c r="C218" s="51"/>
      <c r="D218" s="52"/>
      <c r="E218" s="53"/>
      <c r="F218" s="62"/>
      <c r="G218" s="62"/>
    </row>
    <row r="219" spans="1:7" ht="14.25">
      <c r="A219" s="50"/>
      <c r="B219" s="50"/>
      <c r="C219" s="51"/>
      <c r="D219" s="52"/>
      <c r="E219" s="53"/>
      <c r="F219" s="62"/>
      <c r="G219" s="62"/>
    </row>
    <row r="220" spans="1:7" ht="28.5">
      <c r="A220" s="44" t="s">
        <v>37</v>
      </c>
      <c r="B220" s="44" t="s">
        <v>364</v>
      </c>
      <c r="C220" s="65" t="s">
        <v>30</v>
      </c>
      <c r="D220" s="45" t="s">
        <v>31</v>
      </c>
      <c r="E220" s="45" t="s">
        <v>32</v>
      </c>
      <c r="F220" s="46" t="s">
        <v>33</v>
      </c>
      <c r="G220" s="46" t="s">
        <v>34</v>
      </c>
    </row>
    <row r="221" spans="1:7" ht="14.25">
      <c r="A221" s="531" t="e">
        <f>#REF!</f>
        <v>#REF!</v>
      </c>
      <c r="B221" s="55"/>
      <c r="C221" s="56" t="s">
        <v>246</v>
      </c>
      <c r="D221" s="97" t="s">
        <v>170</v>
      </c>
      <c r="E221" s="98"/>
      <c r="F221" s="107"/>
      <c r="G221" s="99"/>
    </row>
    <row r="222" spans="1:7" ht="14.25">
      <c r="A222" s="531"/>
      <c r="B222" s="35" t="s">
        <v>97</v>
      </c>
      <c r="C222" s="57" t="s">
        <v>258</v>
      </c>
      <c r="D222" s="58" t="s">
        <v>57</v>
      </c>
      <c r="E222" s="103">
        <v>1</v>
      </c>
      <c r="F222" s="106">
        <v>19.92</v>
      </c>
      <c r="G222" s="102">
        <f>ROUND(E222*F222,2)</f>
        <v>19.92</v>
      </c>
    </row>
    <row r="223" spans="1:7" ht="14.25">
      <c r="A223" s="531"/>
      <c r="B223" s="55">
        <v>247</v>
      </c>
      <c r="C223" s="57" t="s">
        <v>284</v>
      </c>
      <c r="D223" s="58" t="s">
        <v>36</v>
      </c>
      <c r="E223" s="103">
        <v>0.3</v>
      </c>
      <c r="F223" s="60">
        <v>8.12</v>
      </c>
      <c r="G223" s="102">
        <f>ROUND(E223*F223,2)</f>
        <v>2.44</v>
      </c>
    </row>
    <row r="224" spans="1:7" ht="14.25">
      <c r="A224" s="531"/>
      <c r="B224" s="55">
        <v>2436</v>
      </c>
      <c r="C224" s="57" t="s">
        <v>250</v>
      </c>
      <c r="D224" s="58" t="s">
        <v>36</v>
      </c>
      <c r="E224" s="103">
        <v>0.3</v>
      </c>
      <c r="F224" s="48">
        <v>11.31</v>
      </c>
      <c r="G224" s="102">
        <f>ROUND(E224*F224,2)</f>
        <v>3.39</v>
      </c>
    </row>
    <row r="225" spans="1:7" ht="14.25">
      <c r="A225" s="50"/>
      <c r="B225" s="50"/>
      <c r="C225" s="51"/>
      <c r="D225" s="52"/>
      <c r="E225" s="53"/>
      <c r="F225" s="54" t="s">
        <v>35</v>
      </c>
      <c r="G225" s="54">
        <f>SUM(G222:G224)</f>
        <v>25.750000000000004</v>
      </c>
    </row>
    <row r="226" spans="1:7" ht="14.25">
      <c r="A226" s="50"/>
      <c r="B226" s="50"/>
      <c r="C226" s="51"/>
      <c r="D226" s="52"/>
      <c r="E226" s="53"/>
      <c r="F226" s="62"/>
      <c r="G226" s="62"/>
    </row>
    <row r="227" spans="1:7" ht="14.25">
      <c r="A227" s="50"/>
      <c r="B227" s="50"/>
      <c r="C227" s="51"/>
      <c r="D227" s="52"/>
      <c r="E227" s="53"/>
      <c r="F227" s="62"/>
      <c r="G227" s="62"/>
    </row>
    <row r="228" spans="1:7" ht="28.5">
      <c r="A228" s="44" t="s">
        <v>37</v>
      </c>
      <c r="B228" s="44" t="s">
        <v>364</v>
      </c>
      <c r="C228" s="65" t="s">
        <v>30</v>
      </c>
      <c r="D228" s="45" t="s">
        <v>31</v>
      </c>
      <c r="E228" s="45" t="s">
        <v>32</v>
      </c>
      <c r="F228" s="46" t="s">
        <v>33</v>
      </c>
      <c r="G228" s="46" t="s">
        <v>34</v>
      </c>
    </row>
    <row r="229" spans="1:7" ht="14.25">
      <c r="A229" s="531" t="e">
        <f>#REF!</f>
        <v>#REF!</v>
      </c>
      <c r="B229" s="55"/>
      <c r="C229" s="56" t="s">
        <v>330</v>
      </c>
      <c r="D229" s="97" t="s">
        <v>170</v>
      </c>
      <c r="E229" s="98"/>
      <c r="F229" s="107"/>
      <c r="G229" s="99"/>
    </row>
    <row r="230" spans="1:7" ht="14.25">
      <c r="A230" s="531"/>
      <c r="B230" s="35" t="s">
        <v>97</v>
      </c>
      <c r="C230" s="57" t="s">
        <v>328</v>
      </c>
      <c r="D230" s="58" t="s">
        <v>57</v>
      </c>
      <c r="E230" s="103">
        <v>1</v>
      </c>
      <c r="F230" s="106">
        <v>1609.87</v>
      </c>
      <c r="G230" s="102">
        <f>ROUND(E230*F230,2)</f>
        <v>1609.87</v>
      </c>
    </row>
    <row r="231" spans="1:7" ht="14.25">
      <c r="A231" s="531"/>
      <c r="B231" s="55">
        <v>247</v>
      </c>
      <c r="C231" s="57" t="s">
        <v>284</v>
      </c>
      <c r="D231" s="58" t="s">
        <v>36</v>
      </c>
      <c r="E231" s="103">
        <v>3</v>
      </c>
      <c r="F231" s="60">
        <v>8.12</v>
      </c>
      <c r="G231" s="102">
        <f>ROUND(E231*F231,2)</f>
        <v>24.36</v>
      </c>
    </row>
    <row r="232" spans="1:7" ht="14.25">
      <c r="A232" s="531"/>
      <c r="B232" s="55">
        <v>2436</v>
      </c>
      <c r="C232" s="57" t="s">
        <v>250</v>
      </c>
      <c r="D232" s="58" t="s">
        <v>36</v>
      </c>
      <c r="E232" s="103">
        <v>3</v>
      </c>
      <c r="F232" s="48">
        <v>11.31</v>
      </c>
      <c r="G232" s="102">
        <f>ROUND(E232*F232,2)</f>
        <v>33.93</v>
      </c>
    </row>
    <row r="233" spans="1:7" ht="14.25">
      <c r="A233" s="50"/>
      <c r="B233" s="50"/>
      <c r="C233" s="51"/>
      <c r="D233" s="52"/>
      <c r="E233" s="53"/>
      <c r="F233" s="54" t="s">
        <v>35</v>
      </c>
      <c r="G233" s="54">
        <f>SUM(G230:G232)</f>
        <v>1668.1599999999999</v>
      </c>
    </row>
    <row r="234" spans="1:7" ht="14.25">
      <c r="A234" s="50"/>
      <c r="B234" s="50"/>
      <c r="C234" s="51"/>
      <c r="D234" s="52"/>
      <c r="E234" s="53"/>
      <c r="F234" s="62"/>
      <c r="G234" s="62"/>
    </row>
    <row r="235" spans="1:7" ht="14.25">
      <c r="A235" s="50"/>
      <c r="B235" s="50"/>
      <c r="C235" s="51"/>
      <c r="D235" s="52"/>
      <c r="E235" s="53"/>
      <c r="F235" s="62"/>
      <c r="G235" s="62"/>
    </row>
    <row r="236" spans="1:7" ht="28.5">
      <c r="A236" s="44" t="s">
        <v>37</v>
      </c>
      <c r="B236" s="44" t="s">
        <v>364</v>
      </c>
      <c r="C236" s="65" t="s">
        <v>30</v>
      </c>
      <c r="D236" s="45" t="s">
        <v>31</v>
      </c>
      <c r="E236" s="45" t="s">
        <v>32</v>
      </c>
      <c r="F236" s="46" t="s">
        <v>33</v>
      </c>
      <c r="G236" s="46" t="s">
        <v>34</v>
      </c>
    </row>
    <row r="237" spans="1:7" ht="14.25">
      <c r="A237" s="531" t="e">
        <f>#REF!</f>
        <v>#REF!</v>
      </c>
      <c r="B237" s="55"/>
      <c r="C237" s="56" t="s">
        <v>247</v>
      </c>
      <c r="D237" s="97" t="s">
        <v>42</v>
      </c>
      <c r="E237" s="98"/>
      <c r="F237" s="107"/>
      <c r="G237" s="99"/>
    </row>
    <row r="238" spans="1:7" ht="14.25">
      <c r="A238" s="531"/>
      <c r="B238" s="35" t="s">
        <v>97</v>
      </c>
      <c r="C238" s="57" t="s">
        <v>259</v>
      </c>
      <c r="D238" s="58" t="s">
        <v>42</v>
      </c>
      <c r="E238" s="103">
        <v>1</v>
      </c>
      <c r="F238" s="106">
        <v>1.38</v>
      </c>
      <c r="G238" s="102">
        <f>ROUND(E238*F238,2)</f>
        <v>1.38</v>
      </c>
    </row>
    <row r="239" spans="1:7" ht="14.25">
      <c r="A239" s="531"/>
      <c r="B239" s="55">
        <v>247</v>
      </c>
      <c r="C239" s="57" t="s">
        <v>284</v>
      </c>
      <c r="D239" s="58" t="s">
        <v>36</v>
      </c>
      <c r="E239" s="103">
        <v>0.05</v>
      </c>
      <c r="F239" s="60">
        <v>8.12</v>
      </c>
      <c r="G239" s="102">
        <f>ROUND(E239*F239,2)</f>
        <v>0.41</v>
      </c>
    </row>
    <row r="240" spans="1:7" ht="14.25">
      <c r="A240" s="531"/>
      <c r="B240" s="55">
        <v>2436</v>
      </c>
      <c r="C240" s="57" t="s">
        <v>250</v>
      </c>
      <c r="D240" s="58" t="s">
        <v>36</v>
      </c>
      <c r="E240" s="103">
        <v>0.05</v>
      </c>
      <c r="F240" s="48">
        <v>11.31</v>
      </c>
      <c r="G240" s="102">
        <f>ROUND(E240*F240,2)</f>
        <v>0.57</v>
      </c>
    </row>
    <row r="241" spans="1:7" ht="14.25">
      <c r="A241" s="50"/>
      <c r="B241" s="50"/>
      <c r="C241" s="51"/>
      <c r="D241" s="52"/>
      <c r="E241" s="53"/>
      <c r="F241" s="54" t="s">
        <v>35</v>
      </c>
      <c r="G241" s="54">
        <f>SUM(G238:G240)</f>
        <v>2.36</v>
      </c>
    </row>
    <row r="242" spans="1:7" ht="14.25">
      <c r="A242" s="50"/>
      <c r="B242" s="50"/>
      <c r="C242" s="51"/>
      <c r="D242" s="52"/>
      <c r="E242" s="53"/>
      <c r="F242" s="62"/>
      <c r="G242" s="62"/>
    </row>
    <row r="243" spans="1:7" ht="28.5">
      <c r="A243" s="44" t="s">
        <v>37</v>
      </c>
      <c r="B243" s="44" t="s">
        <v>364</v>
      </c>
      <c r="C243" s="65" t="s">
        <v>30</v>
      </c>
      <c r="D243" s="45" t="s">
        <v>31</v>
      </c>
      <c r="E243" s="45" t="s">
        <v>32</v>
      </c>
      <c r="F243" s="46" t="s">
        <v>33</v>
      </c>
      <c r="G243" s="46" t="s">
        <v>34</v>
      </c>
    </row>
    <row r="244" spans="1:7" ht="14.25">
      <c r="A244" s="531" t="e">
        <f>#REF!</f>
        <v>#REF!</v>
      </c>
      <c r="B244" s="55"/>
      <c r="C244" s="56" t="s">
        <v>329</v>
      </c>
      <c r="D244" s="97" t="s">
        <v>170</v>
      </c>
      <c r="E244" s="98"/>
      <c r="F244" s="107"/>
      <c r="G244" s="99"/>
    </row>
    <row r="245" spans="1:7" ht="14.25">
      <c r="A245" s="531"/>
      <c r="B245" s="35" t="s">
        <v>97</v>
      </c>
      <c r="C245" s="57" t="s">
        <v>260</v>
      </c>
      <c r="D245" s="58" t="s">
        <v>57</v>
      </c>
      <c r="E245" s="103">
        <v>1</v>
      </c>
      <c r="F245" s="106">
        <f>591.95</f>
        <v>591.95</v>
      </c>
      <c r="G245" s="102">
        <f>ROUND(E245*F245,2)</f>
        <v>591.95</v>
      </c>
    </row>
    <row r="246" spans="1:7" ht="14.25">
      <c r="A246" s="531"/>
      <c r="B246" s="55">
        <v>247</v>
      </c>
      <c r="C246" s="57" t="s">
        <v>284</v>
      </c>
      <c r="D246" s="58" t="s">
        <v>36</v>
      </c>
      <c r="E246" s="103">
        <v>3</v>
      </c>
      <c r="F246" s="60">
        <v>8.12</v>
      </c>
      <c r="G246" s="102">
        <f>ROUND(E246*F246,2)</f>
        <v>24.36</v>
      </c>
    </row>
    <row r="247" spans="1:7" ht="14.25">
      <c r="A247" s="531"/>
      <c r="B247" s="55">
        <v>2436</v>
      </c>
      <c r="C247" s="57" t="s">
        <v>250</v>
      </c>
      <c r="D247" s="58" t="s">
        <v>36</v>
      </c>
      <c r="E247" s="103">
        <v>3</v>
      </c>
      <c r="F247" s="48">
        <v>11.31</v>
      </c>
      <c r="G247" s="102">
        <f>ROUND(E247*F247,2)</f>
        <v>33.93</v>
      </c>
    </row>
    <row r="248" spans="1:7" ht="14.25">
      <c r="A248" s="50"/>
      <c r="B248" s="50"/>
      <c r="C248" s="51"/>
      <c r="D248" s="52"/>
      <c r="E248" s="53"/>
      <c r="F248" s="54" t="s">
        <v>35</v>
      </c>
      <c r="G248" s="54">
        <f>SUM(G245:G247)</f>
        <v>650.24</v>
      </c>
    </row>
    <row r="249" spans="1:7" ht="14.25">
      <c r="A249" s="50"/>
      <c r="B249" s="50"/>
      <c r="C249" s="51"/>
      <c r="D249" s="52"/>
      <c r="E249" s="53"/>
      <c r="F249" s="62"/>
      <c r="G249" s="62"/>
    </row>
    <row r="250" spans="1:7" ht="14.25">
      <c r="A250" s="50"/>
      <c r="B250" s="50"/>
      <c r="C250" s="51"/>
      <c r="D250" s="52"/>
      <c r="E250" s="53"/>
      <c r="F250" s="62"/>
      <c r="G250" s="62"/>
    </row>
    <row r="251" spans="1:7" ht="28.5">
      <c r="A251" s="44" t="s">
        <v>37</v>
      </c>
      <c r="B251" s="44" t="s">
        <v>364</v>
      </c>
      <c r="C251" s="65" t="s">
        <v>30</v>
      </c>
      <c r="D251" s="45" t="s">
        <v>31</v>
      </c>
      <c r="E251" s="45" t="s">
        <v>32</v>
      </c>
      <c r="F251" s="46" t="s">
        <v>33</v>
      </c>
      <c r="G251" s="46" t="s">
        <v>34</v>
      </c>
    </row>
    <row r="252" spans="1:7" ht="14.25">
      <c r="A252" s="531" t="e">
        <f>#REF!</f>
        <v>#REF!</v>
      </c>
      <c r="B252" s="55"/>
      <c r="C252" s="56" t="s">
        <v>248</v>
      </c>
      <c r="D252" s="97" t="s">
        <v>170</v>
      </c>
      <c r="E252" s="98"/>
      <c r="F252" s="107"/>
      <c r="G252" s="99"/>
    </row>
    <row r="253" spans="1:7" ht="14.25">
      <c r="A253" s="531"/>
      <c r="B253" s="35" t="s">
        <v>97</v>
      </c>
      <c r="C253" s="57" t="s">
        <v>261</v>
      </c>
      <c r="D253" s="58" t="s">
        <v>57</v>
      </c>
      <c r="E253" s="100">
        <v>1</v>
      </c>
      <c r="F253" s="106">
        <v>1.32</v>
      </c>
      <c r="G253" s="102">
        <f>ROUND(E253*F253,2)</f>
        <v>1.32</v>
      </c>
    </row>
    <row r="254" spans="1:7" ht="14.25">
      <c r="A254" s="531"/>
      <c r="B254" s="55">
        <v>247</v>
      </c>
      <c r="C254" s="57" t="s">
        <v>284</v>
      </c>
      <c r="D254" s="58" t="s">
        <v>36</v>
      </c>
      <c r="E254" s="100">
        <v>0.3</v>
      </c>
      <c r="F254" s="60">
        <v>8.12</v>
      </c>
      <c r="G254" s="102">
        <f>ROUND(E254*F254,2)</f>
        <v>2.44</v>
      </c>
    </row>
    <row r="255" spans="1:7" ht="14.25">
      <c r="A255" s="531"/>
      <c r="B255" s="55">
        <v>2436</v>
      </c>
      <c r="C255" s="57" t="s">
        <v>250</v>
      </c>
      <c r="D255" s="58" t="s">
        <v>36</v>
      </c>
      <c r="E255" s="100">
        <v>0.3</v>
      </c>
      <c r="F255" s="48">
        <v>11.31</v>
      </c>
      <c r="G255" s="102">
        <f>ROUND(E255*F255,2)</f>
        <v>3.39</v>
      </c>
    </row>
    <row r="256" spans="1:7" ht="14.25">
      <c r="A256" s="50"/>
      <c r="B256" s="50"/>
      <c r="C256" s="51"/>
      <c r="D256" s="52"/>
      <c r="E256" s="53"/>
      <c r="F256" s="54" t="s">
        <v>35</v>
      </c>
      <c r="G256" s="54">
        <f>SUM(G253:G255)</f>
        <v>7.15</v>
      </c>
    </row>
    <row r="257" spans="1:7" ht="14.25">
      <c r="A257" s="50"/>
      <c r="B257" s="50"/>
      <c r="C257" s="51"/>
      <c r="D257" s="52"/>
      <c r="E257" s="53"/>
      <c r="F257" s="62"/>
      <c r="G257" s="62"/>
    </row>
    <row r="258" spans="1:7" ht="14.25">
      <c r="A258" s="50"/>
      <c r="B258" s="50"/>
      <c r="C258" s="51"/>
      <c r="D258" s="52"/>
      <c r="E258" s="53"/>
      <c r="F258" s="62"/>
      <c r="G258" s="62"/>
    </row>
    <row r="259" spans="1:7" ht="28.5">
      <c r="A259" s="44" t="s">
        <v>37</v>
      </c>
      <c r="B259" s="44" t="s">
        <v>364</v>
      </c>
      <c r="C259" s="65" t="s">
        <v>30</v>
      </c>
      <c r="D259" s="45" t="s">
        <v>31</v>
      </c>
      <c r="E259" s="45" t="s">
        <v>32</v>
      </c>
      <c r="F259" s="46" t="s">
        <v>33</v>
      </c>
      <c r="G259" s="46" t="s">
        <v>34</v>
      </c>
    </row>
    <row r="260" spans="1:7" ht="14.25">
      <c r="A260" s="531" t="e">
        <f>#REF!</f>
        <v>#REF!</v>
      </c>
      <c r="B260" s="55"/>
      <c r="C260" s="56" t="s">
        <v>249</v>
      </c>
      <c r="D260" s="97" t="s">
        <v>237</v>
      </c>
      <c r="E260" s="98"/>
      <c r="F260" s="107"/>
      <c r="G260" s="99"/>
    </row>
    <row r="261" spans="1:7" ht="14.25">
      <c r="A261" s="531"/>
      <c r="B261" s="35" t="s">
        <v>97</v>
      </c>
      <c r="C261" s="57" t="s">
        <v>262</v>
      </c>
      <c r="D261" s="58" t="s">
        <v>237</v>
      </c>
      <c r="E261" s="100">
        <v>1</v>
      </c>
      <c r="F261" s="106">
        <v>45</v>
      </c>
      <c r="G261" s="102">
        <f>ROUND(E261*F261,2)</f>
        <v>45</v>
      </c>
    </row>
    <row r="262" spans="1:7" ht="14.25">
      <c r="A262" s="531"/>
      <c r="B262" s="55">
        <v>247</v>
      </c>
      <c r="C262" s="57" t="s">
        <v>284</v>
      </c>
      <c r="D262" s="58" t="s">
        <v>36</v>
      </c>
      <c r="E262" s="100">
        <v>1</v>
      </c>
      <c r="F262" s="60">
        <v>8.12</v>
      </c>
      <c r="G262" s="102">
        <f>ROUND(E262*F262,2)</f>
        <v>8.12</v>
      </c>
    </row>
    <row r="263" spans="1:7" ht="14.25">
      <c r="A263" s="531"/>
      <c r="B263" s="55">
        <v>2436</v>
      </c>
      <c r="C263" s="57" t="s">
        <v>250</v>
      </c>
      <c r="D263" s="58" t="s">
        <v>36</v>
      </c>
      <c r="E263" s="100">
        <v>1</v>
      </c>
      <c r="F263" s="48">
        <v>11.31</v>
      </c>
      <c r="G263" s="102">
        <f>ROUND(E263*F263,2)</f>
        <v>11.31</v>
      </c>
    </row>
    <row r="264" spans="1:7" ht="14.25">
      <c r="A264" s="50"/>
      <c r="B264" s="50"/>
      <c r="C264" s="51"/>
      <c r="D264" s="52"/>
      <c r="E264" s="53"/>
      <c r="F264" s="54" t="s">
        <v>35</v>
      </c>
      <c r="G264" s="54">
        <f>SUM(G261:G263)</f>
        <v>64.42999999999999</v>
      </c>
    </row>
    <row r="265" spans="1:7" ht="14.25">
      <c r="A265" s="50"/>
      <c r="B265" s="50"/>
      <c r="C265" s="51"/>
      <c r="D265" s="52"/>
      <c r="E265" s="53"/>
      <c r="F265" s="62"/>
      <c r="G265" s="62"/>
    </row>
    <row r="266" spans="1:7" ht="28.5">
      <c r="A266" s="44" t="s">
        <v>37</v>
      </c>
      <c r="B266" s="44" t="s">
        <v>364</v>
      </c>
      <c r="C266" s="65" t="s">
        <v>30</v>
      </c>
      <c r="D266" s="45" t="s">
        <v>31</v>
      </c>
      <c r="E266" s="45" t="s">
        <v>32</v>
      </c>
      <c r="F266" s="46" t="s">
        <v>33</v>
      </c>
      <c r="G266" s="46" t="s">
        <v>34</v>
      </c>
    </row>
    <row r="267" spans="1:7" ht="14.25">
      <c r="A267" s="531" t="e">
        <f>#REF!</f>
        <v>#REF!</v>
      </c>
      <c r="B267" s="55"/>
      <c r="C267" s="66" t="s">
        <v>116</v>
      </c>
      <c r="D267" s="45"/>
      <c r="E267" s="47"/>
      <c r="F267" s="48"/>
      <c r="G267" s="49"/>
    </row>
    <row r="268" spans="1:7" ht="14.25">
      <c r="A268" s="531"/>
      <c r="B268" s="35" t="s">
        <v>97</v>
      </c>
      <c r="C268" s="34" t="s">
        <v>127</v>
      </c>
      <c r="D268" s="58" t="s">
        <v>57</v>
      </c>
      <c r="E268" s="59">
        <v>1</v>
      </c>
      <c r="F268" s="60">
        <v>840</v>
      </c>
      <c r="G268" s="49">
        <f>E268*F268</f>
        <v>840</v>
      </c>
    </row>
    <row r="269" spans="1:7" ht="14.25">
      <c r="A269" s="531"/>
      <c r="B269" s="55">
        <v>247</v>
      </c>
      <c r="C269" s="57" t="s">
        <v>284</v>
      </c>
      <c r="D269" s="58" t="s">
        <v>36</v>
      </c>
      <c r="E269" s="59">
        <v>0.3</v>
      </c>
      <c r="F269" s="60">
        <v>8.12</v>
      </c>
      <c r="G269" s="49">
        <f>E269*F269</f>
        <v>2.4359999999999995</v>
      </c>
    </row>
    <row r="270" spans="1:7" ht="14.25">
      <c r="A270" s="531"/>
      <c r="B270" s="55">
        <v>2436</v>
      </c>
      <c r="C270" s="57" t="s">
        <v>70</v>
      </c>
      <c r="D270" s="58" t="s">
        <v>36</v>
      </c>
      <c r="E270" s="61">
        <v>0.3</v>
      </c>
      <c r="F270" s="48">
        <v>11.31</v>
      </c>
      <c r="G270" s="49">
        <f>E270*F270</f>
        <v>3.3930000000000002</v>
      </c>
    </row>
    <row r="271" spans="1:7" ht="14.25">
      <c r="A271" s="50"/>
      <c r="B271" s="50"/>
      <c r="C271" s="51"/>
      <c r="D271" s="52"/>
      <c r="E271" s="53"/>
      <c r="F271" s="54" t="s">
        <v>35</v>
      </c>
      <c r="G271" s="54">
        <f>SUM(G268:G270)</f>
        <v>845.8290000000001</v>
      </c>
    </row>
    <row r="272" spans="1:7" ht="14.25">
      <c r="A272" s="50"/>
      <c r="B272" s="50"/>
      <c r="C272" s="51"/>
      <c r="D272" s="52"/>
      <c r="E272" s="53"/>
      <c r="F272" s="62"/>
      <c r="G272" s="62"/>
    </row>
    <row r="273" spans="1:7" ht="14.25">
      <c r="A273" s="50"/>
      <c r="B273" s="50"/>
      <c r="C273" s="51"/>
      <c r="D273" s="52"/>
      <c r="E273" s="53"/>
      <c r="F273" s="62"/>
      <c r="G273" s="62"/>
    </row>
    <row r="274" spans="1:7" ht="28.5">
      <c r="A274" s="44" t="s">
        <v>37</v>
      </c>
      <c r="B274" s="44" t="s">
        <v>364</v>
      </c>
      <c r="C274" s="65" t="s">
        <v>30</v>
      </c>
      <c r="D274" s="45" t="s">
        <v>31</v>
      </c>
      <c r="E274" s="45" t="s">
        <v>32</v>
      </c>
      <c r="F274" s="46" t="s">
        <v>33</v>
      </c>
      <c r="G274" s="46" t="s">
        <v>34</v>
      </c>
    </row>
    <row r="275" spans="1:7" ht="28.5">
      <c r="A275" s="531" t="e">
        <f>#REF!</f>
        <v>#REF!</v>
      </c>
      <c r="B275" s="55"/>
      <c r="C275" s="66" t="s">
        <v>272</v>
      </c>
      <c r="D275" s="45"/>
      <c r="E275" s="47"/>
      <c r="F275" s="48"/>
      <c r="G275" s="49"/>
    </row>
    <row r="276" spans="1:7" ht="14.25">
      <c r="A276" s="531"/>
      <c r="B276" s="35" t="s">
        <v>97</v>
      </c>
      <c r="C276" s="34" t="s">
        <v>273</v>
      </c>
      <c r="D276" s="58" t="s">
        <v>57</v>
      </c>
      <c r="E276" s="59">
        <v>1</v>
      </c>
      <c r="F276" s="60">
        <v>38.69</v>
      </c>
      <c r="G276" s="49">
        <f>E276*F276</f>
        <v>38.69</v>
      </c>
    </row>
    <row r="277" spans="1:7" ht="14.25">
      <c r="A277" s="531"/>
      <c r="B277" s="55">
        <v>247</v>
      </c>
      <c r="C277" s="57" t="s">
        <v>284</v>
      </c>
      <c r="D277" s="58" t="s">
        <v>36</v>
      </c>
      <c r="E277" s="59">
        <v>0.12</v>
      </c>
      <c r="F277" s="60">
        <v>8.12</v>
      </c>
      <c r="G277" s="49">
        <f>E277*F277</f>
        <v>0.9743999999999998</v>
      </c>
    </row>
    <row r="278" spans="1:7" ht="14.25">
      <c r="A278" s="50"/>
      <c r="B278" s="50"/>
      <c r="C278" s="51"/>
      <c r="D278" s="52"/>
      <c r="E278" s="53"/>
      <c r="F278" s="54" t="s">
        <v>35</v>
      </c>
      <c r="G278" s="54">
        <f>SUM(G276:G277)</f>
        <v>39.6644</v>
      </c>
    </row>
    <row r="279" spans="1:7" ht="14.25">
      <c r="A279" s="50"/>
      <c r="B279" s="50"/>
      <c r="C279" s="51"/>
      <c r="D279" s="52"/>
      <c r="E279" s="53"/>
      <c r="F279" s="62"/>
      <c r="G279" s="62"/>
    </row>
    <row r="280" spans="1:7" ht="14.25">
      <c r="A280" s="50"/>
      <c r="B280" s="50"/>
      <c r="C280" s="51"/>
      <c r="D280" s="52"/>
      <c r="E280" s="53"/>
      <c r="F280" s="62"/>
      <c r="G280" s="62"/>
    </row>
    <row r="281" spans="1:7" ht="28.5">
      <c r="A281" s="44" t="s">
        <v>37</v>
      </c>
      <c r="B281" s="44" t="s">
        <v>364</v>
      </c>
      <c r="C281" s="65" t="s">
        <v>30</v>
      </c>
      <c r="D281" s="45" t="s">
        <v>31</v>
      </c>
      <c r="E281" s="45" t="s">
        <v>32</v>
      </c>
      <c r="F281" s="46" t="s">
        <v>33</v>
      </c>
      <c r="G281" s="46" t="s">
        <v>34</v>
      </c>
    </row>
    <row r="282" spans="1:7" ht="14.25">
      <c r="A282" s="531" t="e">
        <f>#REF!</f>
        <v>#REF!</v>
      </c>
      <c r="B282" s="55"/>
      <c r="C282" s="66" t="s">
        <v>146</v>
      </c>
      <c r="D282" s="45"/>
      <c r="E282" s="47"/>
      <c r="F282" s="48"/>
      <c r="G282" s="49"/>
    </row>
    <row r="283" spans="1:7" ht="14.25">
      <c r="A283" s="531"/>
      <c r="B283" s="35" t="s">
        <v>97</v>
      </c>
      <c r="C283" s="34" t="s">
        <v>147</v>
      </c>
      <c r="D283" s="58" t="s">
        <v>57</v>
      </c>
      <c r="E283" s="59">
        <v>1</v>
      </c>
      <c r="F283" s="60">
        <v>29.75</v>
      </c>
      <c r="G283" s="49">
        <f>E283*F283</f>
        <v>29.75</v>
      </c>
    </row>
    <row r="284" spans="1:7" ht="14.25">
      <c r="A284" s="531"/>
      <c r="B284" s="55">
        <v>247</v>
      </c>
      <c r="C284" s="57" t="s">
        <v>284</v>
      </c>
      <c r="D284" s="58" t="s">
        <v>36</v>
      </c>
      <c r="E284" s="59">
        <v>0.1</v>
      </c>
      <c r="F284" s="60">
        <v>8.12</v>
      </c>
      <c r="G284" s="49">
        <f>E284*F284</f>
        <v>0.8119999999999999</v>
      </c>
    </row>
    <row r="285" spans="1:7" ht="14.25">
      <c r="A285" s="531"/>
      <c r="B285" s="55">
        <v>2436</v>
      </c>
      <c r="C285" s="57" t="s">
        <v>70</v>
      </c>
      <c r="D285" s="58" t="s">
        <v>36</v>
      </c>
      <c r="E285" s="61">
        <v>0.1</v>
      </c>
      <c r="F285" s="48">
        <v>11.31</v>
      </c>
      <c r="G285" s="49">
        <f>E285*F285</f>
        <v>1.131</v>
      </c>
    </row>
    <row r="286" spans="1:7" ht="14.25">
      <c r="A286" s="50"/>
      <c r="B286" s="50"/>
      <c r="C286" s="51"/>
      <c r="D286" s="52"/>
      <c r="E286" s="53"/>
      <c r="F286" s="54" t="s">
        <v>35</v>
      </c>
      <c r="G286" s="54">
        <f>SUM(G283:G285)</f>
        <v>31.693</v>
      </c>
    </row>
    <row r="287" spans="2:7" ht="14.25">
      <c r="B287" s="75"/>
      <c r="C287" s="75"/>
      <c r="D287" s="75"/>
      <c r="E287" s="75"/>
      <c r="F287" s="75"/>
      <c r="G287" s="75"/>
    </row>
    <row r="288" spans="2:7" ht="14.25">
      <c r="B288" s="75"/>
      <c r="C288" s="75"/>
      <c r="D288" s="75"/>
      <c r="E288" s="75"/>
      <c r="F288" s="75"/>
      <c r="G288" s="75"/>
    </row>
    <row r="289" spans="1:7" ht="28.5">
      <c r="A289" s="44" t="s">
        <v>37</v>
      </c>
      <c r="B289" s="44" t="s">
        <v>364</v>
      </c>
      <c r="C289" s="65" t="s">
        <v>30</v>
      </c>
      <c r="D289" s="45" t="s">
        <v>31</v>
      </c>
      <c r="E289" s="45" t="s">
        <v>32</v>
      </c>
      <c r="F289" s="46" t="s">
        <v>33</v>
      </c>
      <c r="G289" s="46" t="s">
        <v>34</v>
      </c>
    </row>
    <row r="290" spans="1:7" ht="28.5">
      <c r="A290" s="531" t="e">
        <f>#REF!</f>
        <v>#REF!</v>
      </c>
      <c r="B290" s="55"/>
      <c r="C290" s="66" t="s">
        <v>349</v>
      </c>
      <c r="D290" s="45"/>
      <c r="E290" s="47"/>
      <c r="F290" s="48"/>
      <c r="G290" s="49"/>
    </row>
    <row r="291" spans="1:7" ht="14.25">
      <c r="A291" s="531"/>
      <c r="B291" s="35" t="s">
        <v>97</v>
      </c>
      <c r="C291" s="34" t="s">
        <v>350</v>
      </c>
      <c r="D291" s="58" t="s">
        <v>57</v>
      </c>
      <c r="E291" s="59">
        <v>1</v>
      </c>
      <c r="F291" s="60">
        <v>74.09</v>
      </c>
      <c r="G291" s="49">
        <f>E291*F291</f>
        <v>74.09</v>
      </c>
    </row>
    <row r="292" spans="1:7" ht="14.25">
      <c r="A292" s="531"/>
      <c r="B292" s="35" t="s">
        <v>97</v>
      </c>
      <c r="C292" s="34" t="s">
        <v>263</v>
      </c>
      <c r="D292" s="58" t="s">
        <v>57</v>
      </c>
      <c r="E292" s="59">
        <v>1</v>
      </c>
      <c r="F292" s="60">
        <v>34.87</v>
      </c>
      <c r="G292" s="49">
        <f>E292*F292</f>
        <v>34.87</v>
      </c>
    </row>
    <row r="293" spans="1:7" ht="14.25">
      <c r="A293" s="531"/>
      <c r="B293" s="55">
        <v>247</v>
      </c>
      <c r="C293" s="57" t="s">
        <v>284</v>
      </c>
      <c r="D293" s="58" t="s">
        <v>36</v>
      </c>
      <c r="E293" s="59">
        <v>0.5</v>
      </c>
      <c r="F293" s="60">
        <v>8.12</v>
      </c>
      <c r="G293" s="49">
        <f>E293*F293</f>
        <v>4.06</v>
      </c>
    </row>
    <row r="294" spans="1:7" ht="14.25">
      <c r="A294" s="531"/>
      <c r="B294" s="55">
        <v>2436</v>
      </c>
      <c r="C294" s="57" t="s">
        <v>70</v>
      </c>
      <c r="D294" s="58" t="s">
        <v>36</v>
      </c>
      <c r="E294" s="61">
        <v>0.5</v>
      </c>
      <c r="F294" s="48">
        <v>11.31</v>
      </c>
      <c r="G294" s="49">
        <f>E294*F294</f>
        <v>5.655</v>
      </c>
    </row>
    <row r="295" spans="1:9" ht="14.25">
      <c r="A295" s="50"/>
      <c r="B295" s="50"/>
      <c r="C295" s="51"/>
      <c r="D295" s="52"/>
      <c r="E295" s="53"/>
      <c r="F295" s="54" t="s">
        <v>35</v>
      </c>
      <c r="G295" s="54">
        <f>SUM(G291:G294)</f>
        <v>118.67500000000001</v>
      </c>
      <c r="H295" s="75"/>
      <c r="I295" s="75"/>
    </row>
    <row r="296" spans="1:9" ht="14.25">
      <c r="A296" s="50"/>
      <c r="B296" s="50"/>
      <c r="C296" s="51"/>
      <c r="D296" s="52"/>
      <c r="E296" s="53"/>
      <c r="F296" s="62"/>
      <c r="G296" s="62"/>
      <c r="H296" s="75"/>
      <c r="I296" s="75"/>
    </row>
    <row r="297" spans="1:9" ht="28.5">
      <c r="A297" s="44" t="s">
        <v>37</v>
      </c>
      <c r="B297" s="44" t="s">
        <v>364</v>
      </c>
      <c r="C297" s="65" t="s">
        <v>30</v>
      </c>
      <c r="D297" s="45" t="s">
        <v>31</v>
      </c>
      <c r="E297" s="45" t="s">
        <v>32</v>
      </c>
      <c r="F297" s="46" t="s">
        <v>33</v>
      </c>
      <c r="G297" s="46" t="s">
        <v>34</v>
      </c>
      <c r="H297" s="75"/>
      <c r="I297" s="75"/>
    </row>
    <row r="298" spans="1:9" ht="14.25">
      <c r="A298" s="528" t="e">
        <f>#REF!</f>
        <v>#REF!</v>
      </c>
      <c r="B298" s="55"/>
      <c r="C298" s="66" t="s">
        <v>351</v>
      </c>
      <c r="D298" s="45"/>
      <c r="E298" s="47"/>
      <c r="F298" s="48"/>
      <c r="G298" s="49"/>
      <c r="H298" s="75"/>
      <c r="I298" s="75"/>
    </row>
    <row r="299" spans="1:9" ht="14.25">
      <c r="A299" s="529"/>
      <c r="B299" s="35" t="s">
        <v>97</v>
      </c>
      <c r="C299" s="34" t="s">
        <v>331</v>
      </c>
      <c r="D299" s="58" t="s">
        <v>57</v>
      </c>
      <c r="E299" s="59">
        <v>1</v>
      </c>
      <c r="F299" s="60">
        <v>6.98</v>
      </c>
      <c r="G299" s="49">
        <f>E299*F299</f>
        <v>6.98</v>
      </c>
      <c r="H299" s="75"/>
      <c r="I299" s="75"/>
    </row>
    <row r="300" spans="1:9" ht="14.25">
      <c r="A300" s="529"/>
      <c r="B300" s="55">
        <v>247</v>
      </c>
      <c r="C300" s="57" t="s">
        <v>284</v>
      </c>
      <c r="D300" s="58" t="s">
        <v>36</v>
      </c>
      <c r="E300" s="59">
        <v>0.2</v>
      </c>
      <c r="F300" s="60">
        <v>8.12</v>
      </c>
      <c r="G300" s="49">
        <f>E300*F300</f>
        <v>1.6239999999999999</v>
      </c>
      <c r="H300" s="75"/>
      <c r="I300" s="75"/>
    </row>
    <row r="301" spans="1:9" ht="14.25">
      <c r="A301" s="530"/>
      <c r="B301" s="55">
        <v>2436</v>
      </c>
      <c r="C301" s="57" t="s">
        <v>70</v>
      </c>
      <c r="D301" s="58" t="s">
        <v>36</v>
      </c>
      <c r="E301" s="61">
        <v>0.2</v>
      </c>
      <c r="F301" s="48">
        <v>11.31</v>
      </c>
      <c r="G301" s="49">
        <f>E301*F301</f>
        <v>2.262</v>
      </c>
      <c r="H301" s="75"/>
      <c r="I301" s="75"/>
    </row>
    <row r="302" spans="1:9" ht="14.25">
      <c r="A302" s="50"/>
      <c r="B302" s="50"/>
      <c r="C302" s="51"/>
      <c r="D302" s="52"/>
      <c r="E302" s="53"/>
      <c r="F302" s="54" t="s">
        <v>35</v>
      </c>
      <c r="G302" s="54">
        <f>SUM(G299:G301)</f>
        <v>10.866000000000001</v>
      </c>
      <c r="H302" s="75"/>
      <c r="I302" s="75"/>
    </row>
    <row r="303" spans="1:9" ht="14.25">
      <c r="A303" s="50"/>
      <c r="B303" s="50"/>
      <c r="C303" s="51"/>
      <c r="D303" s="52"/>
      <c r="E303" s="53"/>
      <c r="F303" s="62"/>
      <c r="G303" s="62"/>
      <c r="H303" s="75"/>
      <c r="I303" s="75"/>
    </row>
    <row r="304" spans="1:9" ht="14.25">
      <c r="A304" s="50"/>
      <c r="B304" s="50"/>
      <c r="C304" s="51"/>
      <c r="D304" s="52"/>
      <c r="E304" s="53"/>
      <c r="F304" s="62"/>
      <c r="G304" s="62"/>
      <c r="H304" s="75"/>
      <c r="I304" s="75"/>
    </row>
    <row r="305" spans="1:9" ht="28.5">
      <c r="A305" s="44" t="s">
        <v>37</v>
      </c>
      <c r="B305" s="44" t="s">
        <v>364</v>
      </c>
      <c r="C305" s="65" t="s">
        <v>30</v>
      </c>
      <c r="D305" s="45" t="s">
        <v>31</v>
      </c>
      <c r="E305" s="45" t="s">
        <v>32</v>
      </c>
      <c r="F305" s="46" t="s">
        <v>33</v>
      </c>
      <c r="G305" s="46" t="s">
        <v>34</v>
      </c>
      <c r="H305" s="75"/>
      <c r="I305" s="75"/>
    </row>
    <row r="306" spans="1:9" ht="14.25">
      <c r="A306" s="528" t="e">
        <f>#REF!</f>
        <v>#REF!</v>
      </c>
      <c r="B306" s="55"/>
      <c r="C306" s="66" t="s">
        <v>352</v>
      </c>
      <c r="D306" s="45"/>
      <c r="E306" s="47"/>
      <c r="F306" s="48"/>
      <c r="G306" s="49"/>
      <c r="H306" s="75"/>
      <c r="I306" s="75"/>
    </row>
    <row r="307" spans="1:9" ht="14.25">
      <c r="A307" s="529"/>
      <c r="B307" s="35" t="s">
        <v>97</v>
      </c>
      <c r="C307" s="34" t="s">
        <v>353</v>
      </c>
      <c r="D307" s="58" t="s">
        <v>57</v>
      </c>
      <c r="E307" s="59">
        <v>1</v>
      </c>
      <c r="F307" s="60">
        <v>7.98</v>
      </c>
      <c r="G307" s="49">
        <f>E307*F307</f>
        <v>7.98</v>
      </c>
      <c r="H307" s="75"/>
      <c r="I307" s="75"/>
    </row>
    <row r="308" spans="1:9" ht="14.25">
      <c r="A308" s="529"/>
      <c r="B308" s="55">
        <v>247</v>
      </c>
      <c r="C308" s="57" t="s">
        <v>284</v>
      </c>
      <c r="D308" s="58" t="s">
        <v>36</v>
      </c>
      <c r="E308" s="59">
        <v>0.5</v>
      </c>
      <c r="F308" s="60">
        <v>8.12</v>
      </c>
      <c r="G308" s="49">
        <f>E308*F308</f>
        <v>4.06</v>
      </c>
      <c r="H308" s="75"/>
      <c r="I308" s="75"/>
    </row>
    <row r="309" spans="1:9" ht="14.25">
      <c r="A309" s="530"/>
      <c r="B309" s="55">
        <v>2436</v>
      </c>
      <c r="C309" s="57" t="s">
        <v>70</v>
      </c>
      <c r="D309" s="58" t="s">
        <v>36</v>
      </c>
      <c r="E309" s="61">
        <v>0.5</v>
      </c>
      <c r="F309" s="48">
        <v>11.31</v>
      </c>
      <c r="G309" s="49">
        <f>E309*F309</f>
        <v>5.655</v>
      </c>
      <c r="H309" s="75"/>
      <c r="I309" s="75"/>
    </row>
    <row r="310" spans="1:9" ht="14.25">
      <c r="A310" s="50"/>
      <c r="B310" s="50"/>
      <c r="C310" s="51"/>
      <c r="D310" s="52"/>
      <c r="E310" s="53"/>
      <c r="F310" s="54" t="s">
        <v>35</v>
      </c>
      <c r="G310" s="54">
        <f>SUM(G307:G309)</f>
        <v>17.695</v>
      </c>
      <c r="H310" s="75"/>
      <c r="I310" s="75"/>
    </row>
    <row r="311" spans="1:9" ht="14.25">
      <c r="A311" s="50"/>
      <c r="B311" s="50"/>
      <c r="C311" s="51"/>
      <c r="D311" s="52"/>
      <c r="E311" s="53"/>
      <c r="F311" s="62"/>
      <c r="G311" s="62"/>
      <c r="H311" s="75"/>
      <c r="I311" s="75"/>
    </row>
    <row r="312" spans="2:9" ht="14.25">
      <c r="B312" s="70"/>
      <c r="C312" s="71"/>
      <c r="D312" s="70"/>
      <c r="E312" s="72"/>
      <c r="F312" s="73"/>
      <c r="G312" s="74"/>
      <c r="H312" s="75"/>
      <c r="I312" s="75"/>
    </row>
    <row r="313" spans="1:9" ht="28.5">
      <c r="A313" s="44" t="s">
        <v>37</v>
      </c>
      <c r="B313" s="44" t="s">
        <v>364</v>
      </c>
      <c r="C313" s="65" t="s">
        <v>30</v>
      </c>
      <c r="D313" s="45" t="s">
        <v>31</v>
      </c>
      <c r="E313" s="45" t="s">
        <v>32</v>
      </c>
      <c r="F313" s="46" t="s">
        <v>33</v>
      </c>
      <c r="G313" s="46" t="s">
        <v>34</v>
      </c>
      <c r="H313" s="75"/>
      <c r="I313" s="75"/>
    </row>
    <row r="314" spans="1:9" ht="14.25">
      <c r="A314" s="531" t="e">
        <f>#REF!</f>
        <v>#REF!</v>
      </c>
      <c r="B314" s="55"/>
      <c r="C314" s="66" t="s">
        <v>266</v>
      </c>
      <c r="D314" s="45"/>
      <c r="E314" s="47"/>
      <c r="F314" s="48"/>
      <c r="G314" s="49"/>
      <c r="H314" s="75"/>
      <c r="I314" s="75"/>
    </row>
    <row r="315" spans="1:9" ht="14.25">
      <c r="A315" s="531"/>
      <c r="B315" s="35" t="s">
        <v>97</v>
      </c>
      <c r="C315" s="68" t="s">
        <v>267</v>
      </c>
      <c r="D315" s="58" t="s">
        <v>57</v>
      </c>
      <c r="E315" s="76">
        <v>2</v>
      </c>
      <c r="F315" s="60">
        <v>1.5</v>
      </c>
      <c r="G315" s="49">
        <f>E315*F315</f>
        <v>3</v>
      </c>
      <c r="H315" s="75"/>
      <c r="I315" s="75"/>
    </row>
    <row r="316" spans="1:9" ht="14.25">
      <c r="A316" s="531"/>
      <c r="B316" s="55">
        <v>247</v>
      </c>
      <c r="C316" s="57" t="s">
        <v>284</v>
      </c>
      <c r="D316" s="58" t="s">
        <v>36</v>
      </c>
      <c r="E316" s="77">
        <v>0.15</v>
      </c>
      <c r="F316" s="60">
        <v>8.12</v>
      </c>
      <c r="G316" s="49">
        <f>E316*F316</f>
        <v>1.2179999999999997</v>
      </c>
      <c r="H316" s="75"/>
      <c r="I316" s="75"/>
    </row>
    <row r="317" spans="1:9" ht="14.25">
      <c r="A317" s="531"/>
      <c r="B317" s="55">
        <v>2436</v>
      </c>
      <c r="C317" s="57" t="s">
        <v>70</v>
      </c>
      <c r="D317" s="58" t="s">
        <v>36</v>
      </c>
      <c r="E317" s="78">
        <v>0.15</v>
      </c>
      <c r="F317" s="48">
        <v>11.31</v>
      </c>
      <c r="G317" s="49">
        <f>E317*F317</f>
        <v>1.6965000000000001</v>
      </c>
      <c r="H317" s="75"/>
      <c r="I317" s="75"/>
    </row>
    <row r="318" spans="1:9" ht="14.25">
      <c r="A318" s="50"/>
      <c r="B318" s="50"/>
      <c r="C318" s="51"/>
      <c r="D318" s="52"/>
      <c r="E318" s="53"/>
      <c r="F318" s="54" t="s">
        <v>35</v>
      </c>
      <c r="G318" s="54">
        <f>SUM(G315:G317)</f>
        <v>5.9145</v>
      </c>
      <c r="H318" s="75"/>
      <c r="I318" s="75"/>
    </row>
    <row r="319" spans="1:9" ht="14.25">
      <c r="A319" s="50"/>
      <c r="B319" s="50"/>
      <c r="C319" s="51"/>
      <c r="D319" s="52"/>
      <c r="E319" s="53"/>
      <c r="F319" s="62"/>
      <c r="G319" s="62"/>
      <c r="H319" s="75"/>
      <c r="I319" s="75"/>
    </row>
    <row r="320" spans="2:9" ht="14.25">
      <c r="B320" s="75"/>
      <c r="C320" s="75"/>
      <c r="D320" s="75"/>
      <c r="E320" s="75"/>
      <c r="F320" s="75"/>
      <c r="G320" s="75"/>
      <c r="H320" s="75"/>
      <c r="I320" s="75"/>
    </row>
    <row r="321" spans="1:9" ht="28.5">
      <c r="A321" s="44" t="s">
        <v>37</v>
      </c>
      <c r="B321" s="44" t="s">
        <v>364</v>
      </c>
      <c r="C321" s="65" t="s">
        <v>30</v>
      </c>
      <c r="D321" s="45" t="s">
        <v>31</v>
      </c>
      <c r="E321" s="45" t="s">
        <v>32</v>
      </c>
      <c r="F321" s="46" t="s">
        <v>33</v>
      </c>
      <c r="G321" s="46" t="s">
        <v>34</v>
      </c>
      <c r="H321" s="75"/>
      <c r="I321" s="75"/>
    </row>
    <row r="322" spans="1:9" ht="14.25">
      <c r="A322" s="531" t="e">
        <f>#REF!</f>
        <v>#REF!</v>
      </c>
      <c r="B322" s="55"/>
      <c r="C322" s="66" t="s">
        <v>264</v>
      </c>
      <c r="D322" s="45"/>
      <c r="E322" s="47"/>
      <c r="F322" s="48"/>
      <c r="G322" s="49"/>
      <c r="H322" s="75"/>
      <c r="I322" s="75"/>
    </row>
    <row r="323" spans="1:9" ht="14.25">
      <c r="A323" s="531"/>
      <c r="B323" s="35" t="s">
        <v>97</v>
      </c>
      <c r="C323" s="34" t="s">
        <v>265</v>
      </c>
      <c r="D323" s="58" t="s">
        <v>57</v>
      </c>
      <c r="E323" s="59">
        <v>1</v>
      </c>
      <c r="F323" s="60">
        <v>18.9</v>
      </c>
      <c r="G323" s="49">
        <f>E323*F323</f>
        <v>18.9</v>
      </c>
      <c r="H323" s="75"/>
      <c r="I323" s="75"/>
    </row>
    <row r="324" spans="1:9" ht="14.25">
      <c r="A324" s="531"/>
      <c r="B324" s="55">
        <v>247</v>
      </c>
      <c r="C324" s="57" t="s">
        <v>284</v>
      </c>
      <c r="D324" s="58" t="s">
        <v>36</v>
      </c>
      <c r="E324" s="59">
        <v>0.15</v>
      </c>
      <c r="F324" s="60">
        <v>8.12</v>
      </c>
      <c r="G324" s="49">
        <f>E324*F324</f>
        <v>1.2179999999999997</v>
      </c>
      <c r="H324" s="75"/>
      <c r="I324" s="75"/>
    </row>
    <row r="325" spans="1:9" ht="14.25">
      <c r="A325" s="531"/>
      <c r="B325" s="55">
        <v>2436</v>
      </c>
      <c r="C325" s="57" t="s">
        <v>70</v>
      </c>
      <c r="D325" s="58" t="s">
        <v>36</v>
      </c>
      <c r="E325" s="61">
        <v>0.15</v>
      </c>
      <c r="F325" s="48">
        <v>11.31</v>
      </c>
      <c r="G325" s="49">
        <f>E325*F325</f>
        <v>1.6965000000000001</v>
      </c>
      <c r="H325" s="75"/>
      <c r="I325" s="75"/>
    </row>
    <row r="326" spans="1:9" ht="14.25">
      <c r="A326" s="50"/>
      <c r="B326" s="50"/>
      <c r="C326" s="51"/>
      <c r="D326" s="52"/>
      <c r="E326" s="53"/>
      <c r="F326" s="54" t="s">
        <v>35</v>
      </c>
      <c r="G326" s="54">
        <f>SUM(G323:G325)</f>
        <v>21.8145</v>
      </c>
      <c r="H326" s="75"/>
      <c r="I326" s="75"/>
    </row>
    <row r="327" spans="1:9" ht="14.25">
      <c r="A327" s="50"/>
      <c r="B327" s="50"/>
      <c r="C327" s="51"/>
      <c r="D327" s="52"/>
      <c r="E327" s="53"/>
      <c r="F327" s="62"/>
      <c r="G327" s="62"/>
      <c r="H327" s="75"/>
      <c r="I327" s="75"/>
    </row>
    <row r="328" spans="2:9" ht="14.25">
      <c r="B328" s="75"/>
      <c r="C328" s="75"/>
      <c r="D328" s="75"/>
      <c r="E328" s="75"/>
      <c r="F328" s="75"/>
      <c r="G328" s="75"/>
      <c r="H328" s="75"/>
      <c r="I328" s="75"/>
    </row>
    <row r="329" spans="1:9" ht="28.5">
      <c r="A329" s="44" t="s">
        <v>37</v>
      </c>
      <c r="B329" s="44" t="s">
        <v>364</v>
      </c>
      <c r="C329" s="65" t="s">
        <v>30</v>
      </c>
      <c r="D329" s="45" t="s">
        <v>31</v>
      </c>
      <c r="E329" s="45" t="s">
        <v>32</v>
      </c>
      <c r="F329" s="46" t="s">
        <v>33</v>
      </c>
      <c r="G329" s="46" t="s">
        <v>34</v>
      </c>
      <c r="H329" s="75"/>
      <c r="I329" s="75"/>
    </row>
    <row r="330" spans="1:9" ht="28.5">
      <c r="A330" s="531" t="e">
        <f>#REF!</f>
        <v>#REF!</v>
      </c>
      <c r="B330" s="55"/>
      <c r="C330" s="66" t="s">
        <v>268</v>
      </c>
      <c r="D330" s="45"/>
      <c r="E330" s="47"/>
      <c r="F330" s="48"/>
      <c r="G330" s="49"/>
      <c r="H330" s="75"/>
      <c r="I330" s="75"/>
    </row>
    <row r="331" spans="1:9" ht="14.25">
      <c r="A331" s="531"/>
      <c r="B331" s="35" t="s">
        <v>97</v>
      </c>
      <c r="C331" s="34" t="s">
        <v>270</v>
      </c>
      <c r="D331" s="58" t="s">
        <v>57</v>
      </c>
      <c r="E331" s="59">
        <v>1</v>
      </c>
      <c r="F331" s="60">
        <v>0.27</v>
      </c>
      <c r="G331" s="49">
        <f>E331*F331</f>
        <v>0.27</v>
      </c>
      <c r="H331" s="75"/>
      <c r="I331" s="75"/>
    </row>
    <row r="332" spans="1:9" ht="14.25">
      <c r="A332" s="531"/>
      <c r="B332" s="35" t="s">
        <v>97</v>
      </c>
      <c r="C332" s="68" t="s">
        <v>269</v>
      </c>
      <c r="D332" s="58" t="s">
        <v>57</v>
      </c>
      <c r="E332" s="76">
        <v>1</v>
      </c>
      <c r="F332" s="60">
        <v>0.12</v>
      </c>
      <c r="G332" s="49">
        <f>E332*F332</f>
        <v>0.12</v>
      </c>
      <c r="H332" s="75"/>
      <c r="I332" s="75"/>
    </row>
    <row r="333" spans="1:9" ht="14.25">
      <c r="A333" s="531"/>
      <c r="B333" s="35" t="s">
        <v>97</v>
      </c>
      <c r="C333" s="68" t="s">
        <v>271</v>
      </c>
      <c r="D333" s="58" t="s">
        <v>57</v>
      </c>
      <c r="E333" s="76">
        <v>1</v>
      </c>
      <c r="F333" s="60">
        <v>0.15</v>
      </c>
      <c r="G333" s="49">
        <f>E333*F333</f>
        <v>0.15</v>
      </c>
      <c r="H333" s="75"/>
      <c r="I333" s="75"/>
    </row>
    <row r="334" spans="1:9" ht="14.25">
      <c r="A334" s="531"/>
      <c r="B334" s="55">
        <v>247</v>
      </c>
      <c r="C334" s="57" t="s">
        <v>284</v>
      </c>
      <c r="D334" s="58" t="s">
        <v>36</v>
      </c>
      <c r="E334" s="59">
        <v>0.09</v>
      </c>
      <c r="F334" s="60">
        <v>8.12</v>
      </c>
      <c r="G334" s="49">
        <f>E334*F334</f>
        <v>0.7307999999999999</v>
      </c>
      <c r="H334" s="75"/>
      <c r="I334" s="75"/>
    </row>
    <row r="335" spans="1:9" ht="14.25">
      <c r="A335" s="531"/>
      <c r="B335" s="55">
        <v>2436</v>
      </c>
      <c r="C335" s="57" t="s">
        <v>70</v>
      </c>
      <c r="D335" s="58" t="s">
        <v>36</v>
      </c>
      <c r="E335" s="61">
        <v>0.09</v>
      </c>
      <c r="F335" s="48">
        <v>11.31</v>
      </c>
      <c r="G335" s="49">
        <f>E335*F335</f>
        <v>1.0179</v>
      </c>
      <c r="H335" s="75"/>
      <c r="I335" s="75"/>
    </row>
    <row r="336" spans="1:9" ht="14.25">
      <c r="A336" s="50"/>
      <c r="B336" s="50"/>
      <c r="C336" s="51"/>
      <c r="D336" s="52"/>
      <c r="E336" s="53"/>
      <c r="F336" s="54" t="s">
        <v>35</v>
      </c>
      <c r="G336" s="54">
        <f>SUM(G331:G335)</f>
        <v>2.2887</v>
      </c>
      <c r="H336" s="75"/>
      <c r="I336" s="75"/>
    </row>
    <row r="337" spans="1:9" ht="14.25">
      <c r="A337" s="50"/>
      <c r="B337" s="50"/>
      <c r="C337" s="51"/>
      <c r="D337" s="52"/>
      <c r="E337" s="53"/>
      <c r="F337" s="62"/>
      <c r="G337" s="62"/>
      <c r="H337" s="75"/>
      <c r="I337" s="75"/>
    </row>
    <row r="338" spans="2:9" ht="14.25">
      <c r="B338" s="75"/>
      <c r="C338" s="75"/>
      <c r="D338" s="75"/>
      <c r="E338" s="75"/>
      <c r="F338" s="75"/>
      <c r="G338" s="75"/>
      <c r="H338" s="75"/>
      <c r="I338" s="75"/>
    </row>
    <row r="339" spans="1:9" ht="28.5">
      <c r="A339" s="44" t="s">
        <v>37</v>
      </c>
      <c r="B339" s="44" t="s">
        <v>364</v>
      </c>
      <c r="C339" s="65" t="s">
        <v>30</v>
      </c>
      <c r="D339" s="45" t="s">
        <v>31</v>
      </c>
      <c r="E339" s="45" t="s">
        <v>32</v>
      </c>
      <c r="F339" s="46" t="s">
        <v>33</v>
      </c>
      <c r="G339" s="46" t="s">
        <v>34</v>
      </c>
      <c r="H339" s="75"/>
      <c r="I339" s="75"/>
    </row>
    <row r="340" spans="1:9" ht="14.25">
      <c r="A340" s="531" t="e">
        <f>#REF!</f>
        <v>#REF!</v>
      </c>
      <c r="B340" s="55"/>
      <c r="C340" s="66" t="s">
        <v>356</v>
      </c>
      <c r="D340" s="45"/>
      <c r="E340" s="47"/>
      <c r="F340" s="48"/>
      <c r="G340" s="49"/>
      <c r="H340" s="75"/>
      <c r="I340" s="75"/>
    </row>
    <row r="341" spans="1:9" ht="14.25">
      <c r="A341" s="531"/>
      <c r="B341" s="35" t="s">
        <v>97</v>
      </c>
      <c r="C341" s="34" t="s">
        <v>354</v>
      </c>
      <c r="D341" s="58" t="s">
        <v>57</v>
      </c>
      <c r="E341" s="59">
        <v>1</v>
      </c>
      <c r="F341" s="108">
        <v>42.9</v>
      </c>
      <c r="G341" s="49">
        <f>E341*F341</f>
        <v>42.9</v>
      </c>
      <c r="H341" s="75"/>
      <c r="I341" s="75"/>
    </row>
    <row r="342" spans="1:9" ht="14.25">
      <c r="A342" s="531"/>
      <c r="B342" s="35" t="s">
        <v>97</v>
      </c>
      <c r="C342" s="34" t="s">
        <v>355</v>
      </c>
      <c r="D342" s="58" t="s">
        <v>57</v>
      </c>
      <c r="E342" s="59">
        <v>1</v>
      </c>
      <c r="F342" s="108">
        <v>30.5</v>
      </c>
      <c r="G342" s="49">
        <f>E342*F342</f>
        <v>30.5</v>
      </c>
      <c r="H342" s="75"/>
      <c r="I342" s="75"/>
    </row>
    <row r="343" spans="1:9" ht="14.25">
      <c r="A343" s="531"/>
      <c r="B343" s="55">
        <v>247</v>
      </c>
      <c r="C343" s="57" t="s">
        <v>284</v>
      </c>
      <c r="D343" s="58" t="s">
        <v>36</v>
      </c>
      <c r="E343" s="59">
        <v>0.09</v>
      </c>
      <c r="F343" s="60">
        <v>8.12</v>
      </c>
      <c r="G343" s="49">
        <f>E343*F343</f>
        <v>0.7307999999999999</v>
      </c>
      <c r="H343" s="75"/>
      <c r="I343" s="75"/>
    </row>
    <row r="344" spans="1:9" ht="14.25">
      <c r="A344" s="531"/>
      <c r="B344" s="55">
        <v>2436</v>
      </c>
      <c r="C344" s="57" t="s">
        <v>70</v>
      </c>
      <c r="D344" s="58" t="s">
        <v>36</v>
      </c>
      <c r="E344" s="61">
        <v>0.09</v>
      </c>
      <c r="F344" s="48">
        <v>11.31</v>
      </c>
      <c r="G344" s="49">
        <f>E344*F344</f>
        <v>1.0179</v>
      </c>
      <c r="H344" s="75"/>
      <c r="I344" s="75"/>
    </row>
    <row r="345" spans="1:9" ht="14.25">
      <c r="A345" s="50"/>
      <c r="B345" s="50"/>
      <c r="C345" s="51"/>
      <c r="D345" s="52"/>
      <c r="E345" s="53"/>
      <c r="F345" s="32" t="s">
        <v>35</v>
      </c>
      <c r="G345" s="32">
        <f>SUM(G341:G344)</f>
        <v>75.1487</v>
      </c>
      <c r="H345" s="75"/>
      <c r="I345" s="75"/>
    </row>
    <row r="346" spans="1:9" ht="14.25">
      <c r="A346" s="50"/>
      <c r="B346" s="50"/>
      <c r="C346" s="51"/>
      <c r="D346" s="52"/>
      <c r="E346" s="53"/>
      <c r="F346" s="62"/>
      <c r="G346" s="62"/>
      <c r="H346" s="75"/>
      <c r="I346" s="75"/>
    </row>
    <row r="347" spans="1:9" ht="14.25">
      <c r="A347" s="50"/>
      <c r="B347" s="50"/>
      <c r="C347" s="51"/>
      <c r="D347" s="52"/>
      <c r="E347" s="53"/>
      <c r="F347" s="62"/>
      <c r="G347" s="62"/>
      <c r="H347" s="75"/>
      <c r="I347" s="75"/>
    </row>
    <row r="348" spans="1:9" ht="28.5">
      <c r="A348" s="44" t="s">
        <v>37</v>
      </c>
      <c r="B348" s="44" t="s">
        <v>364</v>
      </c>
      <c r="C348" s="65" t="s">
        <v>30</v>
      </c>
      <c r="D348" s="45" t="s">
        <v>31</v>
      </c>
      <c r="E348" s="45" t="s">
        <v>32</v>
      </c>
      <c r="F348" s="46" t="s">
        <v>33</v>
      </c>
      <c r="G348" s="46" t="s">
        <v>34</v>
      </c>
      <c r="H348" s="75"/>
      <c r="I348" s="75"/>
    </row>
    <row r="349" spans="1:9" ht="28.5">
      <c r="A349" s="531" t="e">
        <f>#REF!</f>
        <v>#REF!</v>
      </c>
      <c r="B349" s="55"/>
      <c r="C349" s="66" t="s">
        <v>359</v>
      </c>
      <c r="D349" s="45"/>
      <c r="E349" s="47"/>
      <c r="F349" s="48"/>
      <c r="G349" s="49"/>
      <c r="H349" s="75"/>
      <c r="I349" s="75"/>
    </row>
    <row r="350" spans="1:9" ht="14.25">
      <c r="A350" s="531"/>
      <c r="B350" s="35" t="s">
        <v>97</v>
      </c>
      <c r="C350" s="34" t="s">
        <v>360</v>
      </c>
      <c r="D350" s="58" t="s">
        <v>57</v>
      </c>
      <c r="E350" s="59">
        <v>1</v>
      </c>
      <c r="F350" s="60">
        <v>74.09</v>
      </c>
      <c r="G350" s="49">
        <f>E350*F350</f>
        <v>74.09</v>
      </c>
      <c r="H350" s="75"/>
      <c r="I350" s="75"/>
    </row>
    <row r="351" spans="1:9" ht="14.25">
      <c r="A351" s="531"/>
      <c r="B351" s="35" t="s">
        <v>97</v>
      </c>
      <c r="C351" s="34" t="s">
        <v>361</v>
      </c>
      <c r="D351" s="58" t="s">
        <v>57</v>
      </c>
      <c r="E351" s="59">
        <v>1</v>
      </c>
      <c r="F351" s="60">
        <v>34.87</v>
      </c>
      <c r="G351" s="49">
        <f>E351*F351</f>
        <v>34.87</v>
      </c>
      <c r="H351" s="75"/>
      <c r="I351" s="75"/>
    </row>
    <row r="352" spans="1:9" ht="14.25">
      <c r="A352" s="531"/>
      <c r="B352" s="55">
        <v>247</v>
      </c>
      <c r="C352" s="57" t="s">
        <v>284</v>
      </c>
      <c r="D352" s="58" t="s">
        <v>36</v>
      </c>
      <c r="E352" s="59">
        <v>0.5</v>
      </c>
      <c r="F352" s="60">
        <v>8.12</v>
      </c>
      <c r="G352" s="49">
        <f>E352*F352</f>
        <v>4.06</v>
      </c>
      <c r="H352" s="75"/>
      <c r="I352" s="75"/>
    </row>
    <row r="353" spans="1:9" ht="14.25">
      <c r="A353" s="531"/>
      <c r="B353" s="55">
        <v>2436</v>
      </c>
      <c r="C353" s="57" t="s">
        <v>70</v>
      </c>
      <c r="D353" s="58" t="s">
        <v>36</v>
      </c>
      <c r="E353" s="61">
        <v>0.5</v>
      </c>
      <c r="F353" s="48">
        <v>11.31</v>
      </c>
      <c r="G353" s="49">
        <f>E353*F353</f>
        <v>5.655</v>
      </c>
      <c r="H353" s="75"/>
      <c r="I353" s="75"/>
    </row>
    <row r="354" spans="1:9" ht="14.25">
      <c r="A354" s="50"/>
      <c r="B354" s="50"/>
      <c r="C354" s="51"/>
      <c r="D354" s="52"/>
      <c r="E354" s="53"/>
      <c r="F354" s="54" t="s">
        <v>35</v>
      </c>
      <c r="G354" s="54">
        <f>SUM(G350:G353)</f>
        <v>118.67500000000001</v>
      </c>
      <c r="H354" s="75"/>
      <c r="I354" s="75"/>
    </row>
    <row r="355" spans="1:9" ht="14.25">
      <c r="A355" s="50"/>
      <c r="B355" s="50"/>
      <c r="C355" s="51"/>
      <c r="D355" s="52"/>
      <c r="E355" s="53"/>
      <c r="F355" s="62"/>
      <c r="G355" s="62"/>
      <c r="H355" s="75"/>
      <c r="I355" s="75"/>
    </row>
    <row r="356" spans="1:9" ht="28.5">
      <c r="A356" s="44" t="s">
        <v>37</v>
      </c>
      <c r="B356" s="44" t="s">
        <v>364</v>
      </c>
      <c r="C356" s="65" t="s">
        <v>30</v>
      </c>
      <c r="D356" s="45" t="s">
        <v>31</v>
      </c>
      <c r="E356" s="45" t="s">
        <v>32</v>
      </c>
      <c r="F356" s="46" t="s">
        <v>33</v>
      </c>
      <c r="G356" s="46" t="s">
        <v>34</v>
      </c>
      <c r="H356" s="75"/>
      <c r="I356" s="75"/>
    </row>
    <row r="357" spans="1:9" ht="14.25">
      <c r="A357" s="528" t="e">
        <f>#REF!</f>
        <v>#REF!</v>
      </c>
      <c r="B357" s="55"/>
      <c r="C357" s="66" t="s">
        <v>357</v>
      </c>
      <c r="D357" s="45"/>
      <c r="E357" s="47"/>
      <c r="F357" s="48"/>
      <c r="G357" s="49"/>
      <c r="H357" s="75"/>
      <c r="I357" s="75"/>
    </row>
    <row r="358" spans="1:9" ht="14.25">
      <c r="A358" s="529"/>
      <c r="B358" s="35" t="s">
        <v>97</v>
      </c>
      <c r="C358" s="34" t="s">
        <v>358</v>
      </c>
      <c r="D358" s="58" t="s">
        <v>57</v>
      </c>
      <c r="E358" s="59">
        <v>1</v>
      </c>
      <c r="F358" s="60">
        <v>4.98</v>
      </c>
      <c r="G358" s="49">
        <f>E358*F358</f>
        <v>4.98</v>
      </c>
      <c r="H358" s="75"/>
      <c r="I358" s="75"/>
    </row>
    <row r="359" spans="1:9" ht="14.25">
      <c r="A359" s="529"/>
      <c r="B359" s="55">
        <v>247</v>
      </c>
      <c r="C359" s="57" t="s">
        <v>284</v>
      </c>
      <c r="D359" s="58" t="s">
        <v>36</v>
      </c>
      <c r="E359" s="59">
        <v>0.2</v>
      </c>
      <c r="F359" s="60">
        <v>8.12</v>
      </c>
      <c r="G359" s="49">
        <f>E359*F359</f>
        <v>1.6239999999999999</v>
      </c>
      <c r="H359" s="75"/>
      <c r="I359" s="75"/>
    </row>
    <row r="360" spans="1:9" ht="14.25">
      <c r="A360" s="530"/>
      <c r="B360" s="55">
        <v>2436</v>
      </c>
      <c r="C360" s="57" t="s">
        <v>70</v>
      </c>
      <c r="D360" s="58" t="s">
        <v>36</v>
      </c>
      <c r="E360" s="61">
        <v>0.2</v>
      </c>
      <c r="F360" s="48">
        <v>11.31</v>
      </c>
      <c r="G360" s="49">
        <f>E360*F360</f>
        <v>2.262</v>
      </c>
      <c r="H360" s="75"/>
      <c r="I360" s="75"/>
    </row>
    <row r="361" spans="1:9" ht="14.25">
      <c r="A361" s="50"/>
      <c r="B361" s="50"/>
      <c r="C361" s="51"/>
      <c r="D361" s="52"/>
      <c r="E361" s="53"/>
      <c r="F361" s="54" t="s">
        <v>35</v>
      </c>
      <c r="G361" s="54">
        <f>SUM(G358:G360)</f>
        <v>8.866</v>
      </c>
      <c r="H361" s="75"/>
      <c r="I361" s="75"/>
    </row>
    <row r="362" spans="1:9" ht="14.25">
      <c r="A362" s="50"/>
      <c r="B362" s="50"/>
      <c r="C362" s="51"/>
      <c r="D362" s="52"/>
      <c r="E362" s="53"/>
      <c r="F362" s="62"/>
      <c r="G362" s="62"/>
      <c r="H362" s="75"/>
      <c r="I362" s="75"/>
    </row>
    <row r="363" spans="1:9" ht="14.25">
      <c r="A363" s="50"/>
      <c r="B363" s="50"/>
      <c r="C363" s="51"/>
      <c r="D363" s="52"/>
      <c r="E363" s="53"/>
      <c r="F363" s="62"/>
      <c r="G363" s="62"/>
      <c r="H363" s="75"/>
      <c r="I363" s="75"/>
    </row>
    <row r="364" spans="1:9" ht="28.5">
      <c r="A364" s="44" t="s">
        <v>37</v>
      </c>
      <c r="B364" s="44" t="s">
        <v>364</v>
      </c>
      <c r="C364" s="65" t="s">
        <v>30</v>
      </c>
      <c r="D364" s="45" t="s">
        <v>31</v>
      </c>
      <c r="E364" s="45" t="s">
        <v>32</v>
      </c>
      <c r="F364" s="46" t="s">
        <v>33</v>
      </c>
      <c r="G364" s="46" t="s">
        <v>34</v>
      </c>
      <c r="H364" s="75"/>
      <c r="I364" s="75"/>
    </row>
    <row r="365" spans="1:9" ht="28.5">
      <c r="A365" s="531" t="e">
        <f>#REF!</f>
        <v>#REF!</v>
      </c>
      <c r="B365" s="55"/>
      <c r="C365" s="66" t="s">
        <v>362</v>
      </c>
      <c r="D365" s="45"/>
      <c r="E365" s="47"/>
      <c r="F365" s="48"/>
      <c r="G365" s="49"/>
      <c r="H365" s="75"/>
      <c r="I365" s="75"/>
    </row>
    <row r="366" spans="1:9" ht="14.25">
      <c r="A366" s="531"/>
      <c r="B366" s="35" t="s">
        <v>97</v>
      </c>
      <c r="C366" s="34" t="s">
        <v>161</v>
      </c>
      <c r="D366" s="36" t="s">
        <v>57</v>
      </c>
      <c r="E366" s="59">
        <v>1</v>
      </c>
      <c r="F366" s="60">
        <v>0.11</v>
      </c>
      <c r="G366" s="49">
        <f>E366*F366</f>
        <v>0.11</v>
      </c>
      <c r="H366" s="75"/>
      <c r="I366" s="75"/>
    </row>
    <row r="367" spans="1:9" ht="14.25">
      <c r="A367" s="531"/>
      <c r="B367" s="55">
        <v>247</v>
      </c>
      <c r="C367" s="57" t="s">
        <v>284</v>
      </c>
      <c r="D367" s="58" t="s">
        <v>36</v>
      </c>
      <c r="E367" s="59">
        <v>0.04</v>
      </c>
      <c r="F367" s="60">
        <v>8.12</v>
      </c>
      <c r="G367" s="49">
        <f>E367*F367</f>
        <v>0.3248</v>
      </c>
      <c r="H367" s="75"/>
      <c r="I367" s="75"/>
    </row>
    <row r="368" spans="1:9" ht="14.25">
      <c r="A368" s="531"/>
      <c r="B368" s="55">
        <v>2436</v>
      </c>
      <c r="C368" s="57" t="s">
        <v>70</v>
      </c>
      <c r="D368" s="58" t="s">
        <v>36</v>
      </c>
      <c r="E368" s="61">
        <v>0.04</v>
      </c>
      <c r="F368" s="48">
        <v>11.31</v>
      </c>
      <c r="G368" s="49">
        <f>E368*F368</f>
        <v>0.4524</v>
      </c>
      <c r="H368" s="75"/>
      <c r="I368" s="75"/>
    </row>
    <row r="369" spans="1:9" ht="14.25">
      <c r="A369" s="50"/>
      <c r="B369" s="50"/>
      <c r="C369" s="51"/>
      <c r="D369" s="52"/>
      <c r="E369" s="53"/>
      <c r="F369" s="32" t="s">
        <v>35</v>
      </c>
      <c r="G369" s="32">
        <f>SUM(G366:G368)</f>
        <v>0.8872</v>
      </c>
      <c r="H369" s="75"/>
      <c r="I369" s="75"/>
    </row>
    <row r="370" spans="1:9" ht="14.25">
      <c r="A370" s="50"/>
      <c r="B370" s="50"/>
      <c r="C370" s="51"/>
      <c r="D370" s="52"/>
      <c r="E370" s="53"/>
      <c r="F370" s="62"/>
      <c r="G370" s="62"/>
      <c r="H370" s="75"/>
      <c r="I370" s="75"/>
    </row>
    <row r="371" spans="1:9" ht="14.25">
      <c r="A371" s="50"/>
      <c r="B371" s="50"/>
      <c r="C371" s="51"/>
      <c r="D371" s="52"/>
      <c r="E371" s="53"/>
      <c r="F371" s="62"/>
      <c r="G371" s="62"/>
      <c r="H371" s="75"/>
      <c r="I371" s="75"/>
    </row>
    <row r="372" spans="1:9" ht="28.5">
      <c r="A372" s="44" t="s">
        <v>37</v>
      </c>
      <c r="B372" s="44" t="s">
        <v>364</v>
      </c>
      <c r="C372" s="44" t="s">
        <v>30</v>
      </c>
      <c r="D372" s="45" t="s">
        <v>31</v>
      </c>
      <c r="E372" s="45" t="s">
        <v>32</v>
      </c>
      <c r="F372" s="87" t="s">
        <v>33</v>
      </c>
      <c r="G372" s="87" t="s">
        <v>34</v>
      </c>
      <c r="H372" s="75"/>
      <c r="I372" s="75"/>
    </row>
    <row r="373" spans="1:9" ht="28.5">
      <c r="A373" s="528" t="e">
        <f>#REF!</f>
        <v>#REF!</v>
      </c>
      <c r="B373" s="55"/>
      <c r="C373" s="56" t="s">
        <v>347</v>
      </c>
      <c r="D373" s="45"/>
      <c r="E373" s="47"/>
      <c r="F373" s="88"/>
      <c r="G373" s="89"/>
      <c r="H373" s="75"/>
      <c r="I373" s="75"/>
    </row>
    <row r="374" spans="1:9" ht="14.25">
      <c r="A374" s="529"/>
      <c r="B374" s="55" t="s">
        <v>97</v>
      </c>
      <c r="C374" s="115" t="s">
        <v>348</v>
      </c>
      <c r="D374" s="58" t="s">
        <v>57</v>
      </c>
      <c r="E374" s="59">
        <v>1</v>
      </c>
      <c r="F374" s="120">
        <v>13.63</v>
      </c>
      <c r="G374" s="89">
        <f>E374*F374</f>
        <v>13.63</v>
      </c>
      <c r="H374" s="75"/>
      <c r="I374" s="75"/>
    </row>
    <row r="375" spans="1:9" ht="14.25">
      <c r="A375" s="529"/>
      <c r="B375" s="55">
        <v>247</v>
      </c>
      <c r="C375" s="57" t="s">
        <v>284</v>
      </c>
      <c r="D375" s="58" t="s">
        <v>36</v>
      </c>
      <c r="E375" s="110">
        <v>0.2</v>
      </c>
      <c r="F375" s="60">
        <v>8.12</v>
      </c>
      <c r="G375" s="89">
        <f>E375*F375</f>
        <v>1.6239999999999999</v>
      </c>
      <c r="H375" s="75"/>
      <c r="I375" s="75"/>
    </row>
    <row r="376" spans="1:9" ht="14.25">
      <c r="A376" s="530"/>
      <c r="B376" s="55">
        <v>2436</v>
      </c>
      <c r="C376" s="57" t="s">
        <v>70</v>
      </c>
      <c r="D376" s="58" t="s">
        <v>36</v>
      </c>
      <c r="E376" s="121">
        <v>0.2</v>
      </c>
      <c r="F376" s="88">
        <v>11.31</v>
      </c>
      <c r="G376" s="89">
        <f>E376*F376</f>
        <v>2.262</v>
      </c>
      <c r="H376" s="75"/>
      <c r="I376" s="75"/>
    </row>
    <row r="377" spans="1:9" ht="14.25">
      <c r="A377" s="50"/>
      <c r="B377" s="50"/>
      <c r="C377" s="51"/>
      <c r="D377" s="52"/>
      <c r="E377" s="53"/>
      <c r="F377" s="122" t="s">
        <v>35</v>
      </c>
      <c r="G377" s="122">
        <f>SUM(G374:G376)</f>
        <v>17.516000000000002</v>
      </c>
      <c r="H377" s="75"/>
      <c r="I377" s="75"/>
    </row>
    <row r="378" spans="1:9" ht="14.25">
      <c r="A378" s="50"/>
      <c r="B378" s="50"/>
      <c r="C378" s="51"/>
      <c r="D378" s="52"/>
      <c r="E378" s="53"/>
      <c r="F378" s="62"/>
      <c r="G378" s="62"/>
      <c r="H378" s="75"/>
      <c r="I378" s="75"/>
    </row>
    <row r="379" spans="1:9" ht="14.25">
      <c r="A379" s="50"/>
      <c r="B379" s="50"/>
      <c r="C379" s="51"/>
      <c r="D379" s="52"/>
      <c r="E379" s="53"/>
      <c r="F379" s="62"/>
      <c r="G379" s="62"/>
      <c r="H379" s="75"/>
      <c r="I379" s="75"/>
    </row>
    <row r="380" spans="1:9" ht="28.5">
      <c r="A380" s="44" t="s">
        <v>37</v>
      </c>
      <c r="B380" s="44" t="s">
        <v>364</v>
      </c>
      <c r="C380" s="44" t="s">
        <v>30</v>
      </c>
      <c r="D380" s="45" t="s">
        <v>31</v>
      </c>
      <c r="E380" s="45" t="s">
        <v>32</v>
      </c>
      <c r="F380" s="87" t="s">
        <v>33</v>
      </c>
      <c r="G380" s="87" t="s">
        <v>34</v>
      </c>
      <c r="H380" s="75"/>
      <c r="I380" s="75"/>
    </row>
    <row r="381" spans="1:9" ht="28.5">
      <c r="A381" s="528" t="e">
        <f>#REF!</f>
        <v>#REF!</v>
      </c>
      <c r="B381" s="55"/>
      <c r="C381" s="56" t="s">
        <v>341</v>
      </c>
      <c r="D381" s="45"/>
      <c r="E381" s="47"/>
      <c r="F381" s="88"/>
      <c r="G381" s="89"/>
      <c r="H381" s="75"/>
      <c r="I381" s="75"/>
    </row>
    <row r="382" spans="1:9" ht="14.25">
      <c r="A382" s="529"/>
      <c r="B382" s="55" t="s">
        <v>97</v>
      </c>
      <c r="C382" s="115" t="s">
        <v>340</v>
      </c>
      <c r="D382" s="58" t="s">
        <v>57</v>
      </c>
      <c r="E382" s="59">
        <v>1</v>
      </c>
      <c r="F382" s="119">
        <v>15.63</v>
      </c>
      <c r="G382" s="89">
        <f>E382*F382</f>
        <v>15.63</v>
      </c>
      <c r="H382" s="75"/>
      <c r="I382" s="75"/>
    </row>
    <row r="383" spans="1:9" ht="14.25">
      <c r="A383" s="529"/>
      <c r="B383" s="55">
        <v>247</v>
      </c>
      <c r="C383" s="57" t="s">
        <v>284</v>
      </c>
      <c r="D383" s="58" t="s">
        <v>36</v>
      </c>
      <c r="E383" s="110">
        <v>0.2</v>
      </c>
      <c r="F383" s="60">
        <v>8.12</v>
      </c>
      <c r="G383" s="89">
        <f>E383*F383</f>
        <v>1.6239999999999999</v>
      </c>
      <c r="H383" s="75"/>
      <c r="I383" s="75"/>
    </row>
    <row r="384" spans="1:9" ht="14.25">
      <c r="A384" s="530"/>
      <c r="B384" s="55">
        <v>2436</v>
      </c>
      <c r="C384" s="57" t="s">
        <v>70</v>
      </c>
      <c r="D384" s="58" t="s">
        <v>36</v>
      </c>
      <c r="E384" s="121">
        <v>0.2</v>
      </c>
      <c r="F384" s="88">
        <v>11.31</v>
      </c>
      <c r="G384" s="89">
        <f>E384*F384</f>
        <v>2.262</v>
      </c>
      <c r="H384" s="75"/>
      <c r="I384" s="75"/>
    </row>
    <row r="385" spans="1:9" ht="14.25">
      <c r="A385" s="50"/>
      <c r="B385" s="50"/>
      <c r="C385" s="51"/>
      <c r="D385" s="52"/>
      <c r="E385" s="53"/>
      <c r="F385" s="122" t="s">
        <v>35</v>
      </c>
      <c r="G385" s="122">
        <f>SUM(G382:G384)</f>
        <v>19.516000000000002</v>
      </c>
      <c r="H385" s="75"/>
      <c r="I385" s="75"/>
    </row>
    <row r="386" spans="1:9" ht="14.25">
      <c r="A386" s="50"/>
      <c r="B386" s="50"/>
      <c r="C386" s="51"/>
      <c r="D386" s="52"/>
      <c r="E386" s="53"/>
      <c r="F386" s="62"/>
      <c r="G386" s="62"/>
      <c r="H386" s="75"/>
      <c r="I386" s="75"/>
    </row>
    <row r="387" spans="1:9" ht="14.25">
      <c r="A387" s="50"/>
      <c r="B387" s="50"/>
      <c r="C387" s="51"/>
      <c r="D387" s="52"/>
      <c r="E387" s="53"/>
      <c r="F387" s="62"/>
      <c r="G387" s="62"/>
      <c r="H387" s="75"/>
      <c r="I387" s="75"/>
    </row>
    <row r="388" spans="1:9" ht="28.5">
      <c r="A388" s="44" t="s">
        <v>37</v>
      </c>
      <c r="B388" s="44" t="s">
        <v>364</v>
      </c>
      <c r="C388" s="44" t="s">
        <v>30</v>
      </c>
      <c r="D388" s="45" t="s">
        <v>31</v>
      </c>
      <c r="E388" s="45" t="s">
        <v>32</v>
      </c>
      <c r="F388" s="87" t="s">
        <v>33</v>
      </c>
      <c r="G388" s="87" t="s">
        <v>34</v>
      </c>
      <c r="H388" s="75"/>
      <c r="I388" s="75"/>
    </row>
    <row r="389" spans="1:9" ht="28.5">
      <c r="A389" s="528" t="e">
        <f>#REF!</f>
        <v>#REF!</v>
      </c>
      <c r="B389" s="55"/>
      <c r="C389" s="56" t="s">
        <v>335</v>
      </c>
      <c r="D389" s="45"/>
      <c r="E389" s="47"/>
      <c r="F389" s="88"/>
      <c r="G389" s="89"/>
      <c r="H389" s="75"/>
      <c r="I389" s="75"/>
    </row>
    <row r="390" spans="1:9" ht="14.25">
      <c r="A390" s="529"/>
      <c r="B390" s="55" t="s">
        <v>97</v>
      </c>
      <c r="C390" s="115" t="s">
        <v>336</v>
      </c>
      <c r="D390" s="58" t="s">
        <v>57</v>
      </c>
      <c r="E390" s="59">
        <v>1</v>
      </c>
      <c r="F390" s="119">
        <v>18.545</v>
      </c>
      <c r="G390" s="89">
        <f>E390*F390</f>
        <v>18.545</v>
      </c>
      <c r="H390" s="75"/>
      <c r="I390" s="75"/>
    </row>
    <row r="391" spans="1:7" s="82" customFormat="1" ht="14.25">
      <c r="A391" s="529"/>
      <c r="B391" s="55">
        <v>247</v>
      </c>
      <c r="C391" s="57" t="s">
        <v>284</v>
      </c>
      <c r="D391" s="58" t="s">
        <v>36</v>
      </c>
      <c r="E391" s="110">
        <v>0.2</v>
      </c>
      <c r="F391" s="60">
        <v>8.12</v>
      </c>
      <c r="G391" s="89">
        <f>E391*F391</f>
        <v>1.6239999999999999</v>
      </c>
    </row>
    <row r="392" spans="1:9" ht="14.25">
      <c r="A392" s="530"/>
      <c r="B392" s="55">
        <v>2436</v>
      </c>
      <c r="C392" s="57" t="s">
        <v>70</v>
      </c>
      <c r="D392" s="58" t="s">
        <v>36</v>
      </c>
      <c r="E392" s="121">
        <v>0.2</v>
      </c>
      <c r="F392" s="88">
        <v>11.31</v>
      </c>
      <c r="G392" s="89">
        <f>E392*F392</f>
        <v>2.262</v>
      </c>
      <c r="H392" s="75"/>
      <c r="I392" s="75"/>
    </row>
    <row r="393" spans="1:9" ht="14.25">
      <c r="A393" s="50"/>
      <c r="B393" s="50"/>
      <c r="C393" s="51"/>
      <c r="D393" s="52"/>
      <c r="E393" s="53"/>
      <c r="F393" s="122" t="s">
        <v>35</v>
      </c>
      <c r="G393" s="122">
        <f>SUM(G390:G392)</f>
        <v>22.431</v>
      </c>
      <c r="H393" s="75"/>
      <c r="I393" s="75"/>
    </row>
    <row r="394" spans="1:9" ht="14.25">
      <c r="A394" s="50"/>
      <c r="B394" s="50"/>
      <c r="C394" s="51"/>
      <c r="D394" s="52"/>
      <c r="E394" s="53"/>
      <c r="F394" s="123"/>
      <c r="G394" s="123"/>
      <c r="H394" s="75"/>
      <c r="I394" s="75"/>
    </row>
    <row r="395" spans="1:9" ht="14.25">
      <c r="A395" s="50"/>
      <c r="B395" s="50"/>
      <c r="C395" s="51"/>
      <c r="D395" s="52"/>
      <c r="E395" s="53"/>
      <c r="F395" s="123"/>
      <c r="G395" s="123"/>
      <c r="H395" s="75"/>
      <c r="I395" s="75"/>
    </row>
    <row r="396" spans="1:9" ht="28.5">
      <c r="A396" s="44" t="s">
        <v>37</v>
      </c>
      <c r="B396" s="44" t="s">
        <v>364</v>
      </c>
      <c r="C396" s="44" t="s">
        <v>30</v>
      </c>
      <c r="D396" s="45" t="s">
        <v>31</v>
      </c>
      <c r="E396" s="45" t="s">
        <v>32</v>
      </c>
      <c r="F396" s="87" t="s">
        <v>33</v>
      </c>
      <c r="G396" s="87" t="s">
        <v>34</v>
      </c>
      <c r="H396" s="75"/>
      <c r="I396" s="75"/>
    </row>
    <row r="397" spans="1:9" ht="28.5">
      <c r="A397" s="528" t="e">
        <f>#REF!</f>
        <v>#REF!</v>
      </c>
      <c r="B397" s="55"/>
      <c r="C397" s="56" t="s">
        <v>342</v>
      </c>
      <c r="D397" s="45"/>
      <c r="E397" s="47"/>
      <c r="F397" s="88"/>
      <c r="G397" s="89"/>
      <c r="H397" s="75"/>
      <c r="I397" s="75"/>
    </row>
    <row r="398" spans="1:9" ht="14.25">
      <c r="A398" s="529"/>
      <c r="B398" s="55" t="s">
        <v>97</v>
      </c>
      <c r="C398" s="115" t="s">
        <v>346</v>
      </c>
      <c r="D398" s="58" t="s">
        <v>57</v>
      </c>
      <c r="E398" s="59">
        <v>1</v>
      </c>
      <c r="F398" s="119">
        <v>187.545</v>
      </c>
      <c r="G398" s="89">
        <f>E398*F398</f>
        <v>187.545</v>
      </c>
      <c r="H398" s="75"/>
      <c r="I398" s="75"/>
    </row>
    <row r="399" spans="1:7" s="82" customFormat="1" ht="14.25">
      <c r="A399" s="529"/>
      <c r="B399" s="55">
        <v>247</v>
      </c>
      <c r="C399" s="57" t="s">
        <v>284</v>
      </c>
      <c r="D399" s="58" t="s">
        <v>36</v>
      </c>
      <c r="E399" s="110">
        <v>0.2</v>
      </c>
      <c r="F399" s="60">
        <v>8.12</v>
      </c>
      <c r="G399" s="89">
        <f>E399*F399</f>
        <v>1.6239999999999999</v>
      </c>
    </row>
    <row r="400" spans="1:9" ht="14.25">
      <c r="A400" s="530"/>
      <c r="B400" s="55">
        <v>2436</v>
      </c>
      <c r="C400" s="57" t="s">
        <v>70</v>
      </c>
      <c r="D400" s="58" t="s">
        <v>36</v>
      </c>
      <c r="E400" s="121">
        <v>0.2</v>
      </c>
      <c r="F400" s="88">
        <v>11.31</v>
      </c>
      <c r="G400" s="89">
        <f>E400*F400</f>
        <v>2.262</v>
      </c>
      <c r="H400" s="75"/>
      <c r="I400" s="75"/>
    </row>
    <row r="401" spans="1:9" ht="14.25">
      <c r="A401" s="50"/>
      <c r="B401" s="50"/>
      <c r="C401" s="51"/>
      <c r="D401" s="52"/>
      <c r="E401" s="53"/>
      <c r="F401" s="122" t="s">
        <v>35</v>
      </c>
      <c r="G401" s="122">
        <f>SUM(G398:G400)</f>
        <v>191.43099999999998</v>
      </c>
      <c r="H401" s="75"/>
      <c r="I401" s="75"/>
    </row>
    <row r="402" spans="1:9" ht="14.25">
      <c r="A402" s="50"/>
      <c r="B402" s="50"/>
      <c r="C402" s="51"/>
      <c r="D402" s="52"/>
      <c r="E402" s="53"/>
      <c r="F402" s="123"/>
      <c r="G402" s="123"/>
      <c r="H402" s="75"/>
      <c r="I402" s="75"/>
    </row>
    <row r="403" spans="1:9" ht="14.25">
      <c r="A403" s="50"/>
      <c r="B403" s="50"/>
      <c r="C403" s="51"/>
      <c r="D403" s="52"/>
      <c r="E403" s="53"/>
      <c r="F403" s="123"/>
      <c r="G403" s="123"/>
      <c r="H403" s="75"/>
      <c r="I403" s="75"/>
    </row>
    <row r="404" spans="1:9" ht="28.5">
      <c r="A404" s="44" t="s">
        <v>37</v>
      </c>
      <c r="B404" s="44" t="s">
        <v>364</v>
      </c>
      <c r="C404" s="44" t="s">
        <v>30</v>
      </c>
      <c r="D404" s="45" t="s">
        <v>31</v>
      </c>
      <c r="E404" s="45" t="s">
        <v>32</v>
      </c>
      <c r="F404" s="87" t="s">
        <v>33</v>
      </c>
      <c r="G404" s="87" t="s">
        <v>34</v>
      </c>
      <c r="H404" s="75"/>
      <c r="I404" s="75"/>
    </row>
    <row r="405" spans="1:9" ht="28.5">
      <c r="A405" s="528" t="e">
        <f>#REF!</f>
        <v>#REF!</v>
      </c>
      <c r="B405" s="55"/>
      <c r="C405" s="56" t="s">
        <v>343</v>
      </c>
      <c r="D405" s="45"/>
      <c r="E405" s="47"/>
      <c r="F405" s="88"/>
      <c r="G405" s="89"/>
      <c r="H405" s="75"/>
      <c r="I405" s="75"/>
    </row>
    <row r="406" spans="1:9" ht="14.25">
      <c r="A406" s="529"/>
      <c r="B406" s="55" t="s">
        <v>97</v>
      </c>
      <c r="C406" s="115" t="s">
        <v>337</v>
      </c>
      <c r="D406" s="58" t="s">
        <v>57</v>
      </c>
      <c r="E406" s="59">
        <v>1</v>
      </c>
      <c r="F406" s="119">
        <v>20.84</v>
      </c>
      <c r="G406" s="89">
        <f>E406*F406</f>
        <v>20.84</v>
      </c>
      <c r="H406" s="75"/>
      <c r="I406" s="75"/>
    </row>
    <row r="407" spans="1:9" ht="14.25">
      <c r="A407" s="529"/>
      <c r="B407" s="55">
        <v>247</v>
      </c>
      <c r="C407" s="57" t="s">
        <v>284</v>
      </c>
      <c r="D407" s="58" t="s">
        <v>36</v>
      </c>
      <c r="E407" s="110">
        <v>0.2</v>
      </c>
      <c r="F407" s="60">
        <v>8.12</v>
      </c>
      <c r="G407" s="89">
        <f>E407*F407</f>
        <v>1.6239999999999999</v>
      </c>
      <c r="H407" s="75"/>
      <c r="I407" s="75"/>
    </row>
    <row r="408" spans="1:9" ht="14.25">
      <c r="A408" s="530"/>
      <c r="B408" s="55">
        <v>2436</v>
      </c>
      <c r="C408" s="57" t="s">
        <v>70</v>
      </c>
      <c r="D408" s="58" t="s">
        <v>36</v>
      </c>
      <c r="E408" s="121">
        <v>0.2</v>
      </c>
      <c r="F408" s="88">
        <v>11.31</v>
      </c>
      <c r="G408" s="89">
        <f>E408*F408</f>
        <v>2.262</v>
      </c>
      <c r="H408" s="75"/>
      <c r="I408" s="75"/>
    </row>
    <row r="409" spans="1:9" ht="14.25">
      <c r="A409" s="50"/>
      <c r="B409" s="50"/>
      <c r="C409" s="51"/>
      <c r="D409" s="52"/>
      <c r="E409" s="53"/>
      <c r="F409" s="122" t="s">
        <v>35</v>
      </c>
      <c r="G409" s="122">
        <f>SUM(G406:G408)</f>
        <v>24.726</v>
      </c>
      <c r="H409" s="75"/>
      <c r="I409" s="75"/>
    </row>
    <row r="410" spans="1:9" ht="14.25">
      <c r="A410" s="50"/>
      <c r="B410" s="50"/>
      <c r="C410" s="51"/>
      <c r="D410" s="52"/>
      <c r="E410" s="53"/>
      <c r="F410" s="123"/>
      <c r="G410" s="123"/>
      <c r="H410" s="75"/>
      <c r="I410" s="75"/>
    </row>
    <row r="411" spans="1:9" ht="14.25">
      <c r="A411" s="50"/>
      <c r="B411" s="50"/>
      <c r="C411" s="51"/>
      <c r="D411" s="52"/>
      <c r="E411" s="53"/>
      <c r="F411" s="123"/>
      <c r="G411" s="123"/>
      <c r="H411" s="75"/>
      <c r="I411" s="75"/>
    </row>
    <row r="412" spans="1:9" ht="28.5">
      <c r="A412" s="44" t="s">
        <v>37</v>
      </c>
      <c r="B412" s="44" t="s">
        <v>364</v>
      </c>
      <c r="C412" s="44" t="s">
        <v>30</v>
      </c>
      <c r="D412" s="45" t="s">
        <v>31</v>
      </c>
      <c r="E412" s="45" t="s">
        <v>32</v>
      </c>
      <c r="F412" s="87" t="s">
        <v>33</v>
      </c>
      <c r="G412" s="87" t="s">
        <v>34</v>
      </c>
      <c r="H412" s="75"/>
      <c r="I412" s="75"/>
    </row>
    <row r="413" spans="1:9" ht="28.5">
      <c r="A413" s="528" t="e">
        <f>#REF!</f>
        <v>#REF!</v>
      </c>
      <c r="B413" s="55"/>
      <c r="C413" s="56" t="s">
        <v>344</v>
      </c>
      <c r="D413" s="45"/>
      <c r="E413" s="47"/>
      <c r="F413" s="88"/>
      <c r="G413" s="89"/>
      <c r="H413" s="75"/>
      <c r="I413" s="75"/>
    </row>
    <row r="414" spans="1:9" ht="14.25">
      <c r="A414" s="529"/>
      <c r="B414" s="55" t="s">
        <v>97</v>
      </c>
      <c r="C414" s="115" t="s">
        <v>345</v>
      </c>
      <c r="D414" s="58" t="s">
        <v>57</v>
      </c>
      <c r="E414" s="59">
        <v>1</v>
      </c>
      <c r="F414" s="119">
        <v>20.84</v>
      </c>
      <c r="G414" s="89">
        <f>E414*F414</f>
        <v>20.84</v>
      </c>
      <c r="H414" s="75"/>
      <c r="I414" s="75"/>
    </row>
    <row r="415" spans="1:9" ht="14.25">
      <c r="A415" s="529"/>
      <c r="B415" s="55">
        <v>247</v>
      </c>
      <c r="C415" s="57" t="s">
        <v>284</v>
      </c>
      <c r="D415" s="58" t="s">
        <v>36</v>
      </c>
      <c r="E415" s="110">
        <v>0.2</v>
      </c>
      <c r="F415" s="60">
        <v>8.12</v>
      </c>
      <c r="G415" s="89">
        <f>E415*F415</f>
        <v>1.6239999999999999</v>
      </c>
      <c r="H415" s="75"/>
      <c r="I415" s="75"/>
    </row>
    <row r="416" spans="1:9" ht="14.25">
      <c r="A416" s="530"/>
      <c r="B416" s="55">
        <v>2436</v>
      </c>
      <c r="C416" s="57" t="s">
        <v>70</v>
      </c>
      <c r="D416" s="58" t="s">
        <v>36</v>
      </c>
      <c r="E416" s="121">
        <v>0.2</v>
      </c>
      <c r="F416" s="88">
        <v>11.31</v>
      </c>
      <c r="G416" s="89">
        <f>E416*F416</f>
        <v>2.262</v>
      </c>
      <c r="H416" s="75"/>
      <c r="I416" s="75"/>
    </row>
    <row r="417" spans="1:9" ht="14.25">
      <c r="A417" s="50"/>
      <c r="B417" s="50"/>
      <c r="C417" s="51"/>
      <c r="D417" s="52"/>
      <c r="E417" s="53"/>
      <c r="F417" s="122" t="s">
        <v>35</v>
      </c>
      <c r="G417" s="122">
        <f>SUM(G414:G416)</f>
        <v>24.726</v>
      </c>
      <c r="H417" s="75"/>
      <c r="I417" s="75"/>
    </row>
    <row r="418" spans="1:9" ht="14.25">
      <c r="A418" s="50"/>
      <c r="B418" s="50"/>
      <c r="C418" s="51"/>
      <c r="D418" s="52"/>
      <c r="E418" s="53"/>
      <c r="F418" s="123"/>
      <c r="G418" s="123"/>
      <c r="H418" s="75"/>
      <c r="I418" s="75"/>
    </row>
    <row r="419" spans="1:9" ht="14.25">
      <c r="A419" s="50"/>
      <c r="B419" s="50"/>
      <c r="C419" s="51"/>
      <c r="D419" s="52"/>
      <c r="E419" s="53"/>
      <c r="F419" s="123"/>
      <c r="G419" s="123"/>
      <c r="H419" s="75"/>
      <c r="I419" s="75"/>
    </row>
    <row r="420" spans="1:9" ht="28.5">
      <c r="A420" s="44" t="s">
        <v>37</v>
      </c>
      <c r="B420" s="44" t="s">
        <v>364</v>
      </c>
      <c r="C420" s="44" t="s">
        <v>30</v>
      </c>
      <c r="D420" s="45" t="s">
        <v>31</v>
      </c>
      <c r="E420" s="45" t="s">
        <v>32</v>
      </c>
      <c r="F420" s="87" t="s">
        <v>33</v>
      </c>
      <c r="G420" s="87" t="s">
        <v>34</v>
      </c>
      <c r="H420" s="75"/>
      <c r="I420" s="75"/>
    </row>
    <row r="421" spans="1:9" ht="28.5">
      <c r="A421" s="528" t="e">
        <f>#REF!</f>
        <v>#REF!</v>
      </c>
      <c r="B421" s="55"/>
      <c r="C421" s="56" t="s">
        <v>338</v>
      </c>
      <c r="D421" s="45"/>
      <c r="E421" s="47"/>
      <c r="F421" s="88"/>
      <c r="G421" s="89"/>
      <c r="H421" s="75"/>
      <c r="I421" s="75"/>
    </row>
    <row r="422" spans="1:9" ht="14.25">
      <c r="A422" s="529"/>
      <c r="B422" s="55" t="s">
        <v>97</v>
      </c>
      <c r="C422" s="115" t="s">
        <v>339</v>
      </c>
      <c r="D422" s="58" t="s">
        <v>57</v>
      </c>
      <c r="E422" s="59">
        <v>1</v>
      </c>
      <c r="F422" s="119">
        <v>255.927</v>
      </c>
      <c r="G422" s="89">
        <f>E422*F422</f>
        <v>255.927</v>
      </c>
      <c r="H422" s="75"/>
      <c r="I422" s="75"/>
    </row>
    <row r="423" spans="1:9" ht="14.25">
      <c r="A423" s="529"/>
      <c r="B423" s="55">
        <v>247</v>
      </c>
      <c r="C423" s="57" t="s">
        <v>284</v>
      </c>
      <c r="D423" s="58" t="s">
        <v>36</v>
      </c>
      <c r="E423" s="110">
        <v>0.2</v>
      </c>
      <c r="F423" s="60">
        <v>8.12</v>
      </c>
      <c r="G423" s="89">
        <f>E423*F423</f>
        <v>1.6239999999999999</v>
      </c>
      <c r="H423" s="75"/>
      <c r="I423" s="75"/>
    </row>
    <row r="424" spans="1:9" ht="14.25">
      <c r="A424" s="530"/>
      <c r="B424" s="55">
        <v>2436</v>
      </c>
      <c r="C424" s="57" t="s">
        <v>70</v>
      </c>
      <c r="D424" s="58" t="s">
        <v>36</v>
      </c>
      <c r="E424" s="121">
        <v>0.2</v>
      </c>
      <c r="F424" s="88">
        <v>11.31</v>
      </c>
      <c r="G424" s="89">
        <f>E424*F424</f>
        <v>2.262</v>
      </c>
      <c r="H424" s="75"/>
      <c r="I424" s="75"/>
    </row>
    <row r="425" spans="1:9" ht="14.25">
      <c r="A425" s="50"/>
      <c r="B425" s="50"/>
      <c r="C425" s="51"/>
      <c r="D425" s="52"/>
      <c r="E425" s="53"/>
      <c r="F425" s="122" t="s">
        <v>35</v>
      </c>
      <c r="G425" s="122">
        <f>SUM(G422:G424)</f>
        <v>259.813</v>
      </c>
      <c r="H425" s="75"/>
      <c r="I425" s="75"/>
    </row>
    <row r="426" spans="1:9" ht="14.25">
      <c r="A426" s="50"/>
      <c r="B426" s="50"/>
      <c r="C426" s="51"/>
      <c r="D426" s="52"/>
      <c r="E426" s="53"/>
      <c r="F426" s="123"/>
      <c r="G426" s="123"/>
      <c r="H426" s="75"/>
      <c r="I426" s="75"/>
    </row>
    <row r="427" spans="1:9" ht="14.25">
      <c r="A427" s="50"/>
      <c r="B427" s="50"/>
      <c r="C427" s="51"/>
      <c r="D427" s="52"/>
      <c r="E427" s="53"/>
      <c r="F427" s="123"/>
      <c r="G427" s="123"/>
      <c r="H427" s="75"/>
      <c r="I427" s="75"/>
    </row>
    <row r="428" spans="1:9" ht="28.5">
      <c r="A428" s="44" t="s">
        <v>37</v>
      </c>
      <c r="B428" s="44" t="s">
        <v>364</v>
      </c>
      <c r="C428" s="65" t="s">
        <v>30</v>
      </c>
      <c r="D428" s="45" t="s">
        <v>31</v>
      </c>
      <c r="E428" s="45" t="s">
        <v>32</v>
      </c>
      <c r="F428" s="46" t="s">
        <v>33</v>
      </c>
      <c r="G428" s="46" t="s">
        <v>34</v>
      </c>
      <c r="H428" s="75"/>
      <c r="I428" s="75"/>
    </row>
    <row r="429" spans="1:9" ht="28.5">
      <c r="A429" s="531" t="e">
        <f>#REF!</f>
        <v>#REF!</v>
      </c>
      <c r="B429" s="55"/>
      <c r="C429" s="66" t="s">
        <v>278</v>
      </c>
      <c r="D429" s="45"/>
      <c r="E429" s="47"/>
      <c r="F429" s="48"/>
      <c r="G429" s="49"/>
      <c r="H429" s="75"/>
      <c r="I429" s="75"/>
    </row>
    <row r="430" spans="1:9" ht="14.25">
      <c r="A430" s="531"/>
      <c r="B430" s="35">
        <v>4272</v>
      </c>
      <c r="C430" s="34" t="s">
        <v>281</v>
      </c>
      <c r="D430" s="36" t="s">
        <v>57</v>
      </c>
      <c r="E430" s="110">
        <v>1</v>
      </c>
      <c r="F430" s="60">
        <v>82.68</v>
      </c>
      <c r="G430" s="60">
        <f>E430*F430</f>
        <v>82.68</v>
      </c>
      <c r="H430" s="75"/>
      <c r="I430" s="75"/>
    </row>
    <row r="431" spans="1:9" ht="14.25">
      <c r="A431" s="531"/>
      <c r="B431" s="55">
        <v>247</v>
      </c>
      <c r="C431" s="63" t="s">
        <v>284</v>
      </c>
      <c r="D431" s="58" t="s">
        <v>36</v>
      </c>
      <c r="E431" s="59">
        <v>0.15</v>
      </c>
      <c r="F431" s="60">
        <v>8.12</v>
      </c>
      <c r="G431" s="49">
        <f>E431*F431</f>
        <v>1.2179999999999997</v>
      </c>
      <c r="H431" s="75"/>
      <c r="I431" s="75"/>
    </row>
    <row r="432" spans="1:9" ht="14.25">
      <c r="A432" s="531"/>
      <c r="B432" s="55">
        <v>2436</v>
      </c>
      <c r="C432" s="57" t="s">
        <v>70</v>
      </c>
      <c r="D432" s="58" t="s">
        <v>36</v>
      </c>
      <c r="E432" s="61">
        <v>0.15</v>
      </c>
      <c r="F432" s="48">
        <v>11.31</v>
      </c>
      <c r="G432" s="49">
        <f>E432*F432</f>
        <v>1.6965000000000001</v>
      </c>
      <c r="H432" s="75"/>
      <c r="I432" s="75"/>
    </row>
    <row r="433" spans="1:9" ht="14.25">
      <c r="A433" s="50"/>
      <c r="B433" s="50"/>
      <c r="C433" s="51"/>
      <c r="D433" s="52"/>
      <c r="E433" s="53"/>
      <c r="F433" s="54" t="s">
        <v>35</v>
      </c>
      <c r="G433" s="54">
        <f>SUM(G430:G432)</f>
        <v>85.59450000000001</v>
      </c>
      <c r="H433" s="75"/>
      <c r="I433" s="75"/>
    </row>
    <row r="434" spans="1:9" ht="14.25">
      <c r="A434" s="50"/>
      <c r="B434" s="50"/>
      <c r="C434" s="51"/>
      <c r="D434" s="52"/>
      <c r="E434" s="53"/>
      <c r="F434" s="62"/>
      <c r="G434" s="62"/>
      <c r="H434" s="75"/>
      <c r="I434" s="75"/>
    </row>
    <row r="435" spans="2:9" ht="14.25">
      <c r="B435" s="75"/>
      <c r="C435" s="75"/>
      <c r="D435" s="75"/>
      <c r="E435" s="75"/>
      <c r="F435" s="75"/>
      <c r="G435" s="75"/>
      <c r="H435" s="75"/>
      <c r="I435" s="75"/>
    </row>
    <row r="436" spans="1:9" ht="28.5">
      <c r="A436" s="44" t="s">
        <v>37</v>
      </c>
      <c r="B436" s="44" t="s">
        <v>364</v>
      </c>
      <c r="C436" s="65" t="s">
        <v>30</v>
      </c>
      <c r="D436" s="45" t="s">
        <v>31</v>
      </c>
      <c r="E436" s="45" t="s">
        <v>32</v>
      </c>
      <c r="F436" s="46" t="s">
        <v>33</v>
      </c>
      <c r="G436" s="46" t="s">
        <v>34</v>
      </c>
      <c r="H436" s="75"/>
      <c r="I436" s="75"/>
    </row>
    <row r="437" spans="1:9" ht="28.5">
      <c r="A437" s="531" t="e">
        <f>#REF!</f>
        <v>#REF!</v>
      </c>
      <c r="B437" s="55"/>
      <c r="C437" s="66" t="s">
        <v>279</v>
      </c>
      <c r="D437" s="45"/>
      <c r="E437" s="47"/>
      <c r="F437" s="48"/>
      <c r="G437" s="49"/>
      <c r="H437" s="75"/>
      <c r="I437" s="75"/>
    </row>
    <row r="438" spans="1:9" ht="14.25">
      <c r="A438" s="531"/>
      <c r="B438" s="35">
        <v>4272</v>
      </c>
      <c r="C438" s="34" t="s">
        <v>280</v>
      </c>
      <c r="D438" s="36" t="s">
        <v>57</v>
      </c>
      <c r="E438" s="110">
        <v>1</v>
      </c>
      <c r="F438" s="60">
        <v>129.5</v>
      </c>
      <c r="G438" s="60">
        <f>E438*F438</f>
        <v>129.5</v>
      </c>
      <c r="H438" s="75"/>
      <c r="I438" s="75"/>
    </row>
    <row r="439" spans="1:9" ht="14.25">
      <c r="A439" s="531"/>
      <c r="B439" s="55">
        <v>247</v>
      </c>
      <c r="C439" s="63" t="s">
        <v>284</v>
      </c>
      <c r="D439" s="58" t="s">
        <v>36</v>
      </c>
      <c r="E439" s="59">
        <v>0.15</v>
      </c>
      <c r="F439" s="60">
        <v>8.12</v>
      </c>
      <c r="G439" s="49">
        <f>E439*F439</f>
        <v>1.2179999999999997</v>
      </c>
      <c r="H439" s="75"/>
      <c r="I439" s="75"/>
    </row>
    <row r="440" spans="1:9" ht="14.25">
      <c r="A440" s="531"/>
      <c r="B440" s="55">
        <v>2436</v>
      </c>
      <c r="C440" s="57" t="s">
        <v>70</v>
      </c>
      <c r="D440" s="58" t="s">
        <v>36</v>
      </c>
      <c r="E440" s="61">
        <v>0.15</v>
      </c>
      <c r="F440" s="48">
        <v>11.31</v>
      </c>
      <c r="G440" s="49">
        <f>E440*F440</f>
        <v>1.6965000000000001</v>
      </c>
      <c r="H440" s="75"/>
      <c r="I440" s="75"/>
    </row>
    <row r="441" spans="1:9" ht="14.25">
      <c r="A441" s="50"/>
      <c r="B441" s="50"/>
      <c r="C441" s="51"/>
      <c r="D441" s="52"/>
      <c r="E441" s="53"/>
      <c r="F441" s="32" t="s">
        <v>35</v>
      </c>
      <c r="G441" s="32">
        <f>SUM(G438:G440)</f>
        <v>132.41449999999998</v>
      </c>
      <c r="H441" s="75"/>
      <c r="I441" s="75"/>
    </row>
    <row r="442" spans="1:9" ht="14.25">
      <c r="A442" s="50"/>
      <c r="B442" s="50"/>
      <c r="C442" s="51"/>
      <c r="D442" s="52"/>
      <c r="E442" s="53"/>
      <c r="F442" s="62"/>
      <c r="G442" s="62"/>
      <c r="H442" s="75"/>
      <c r="I442" s="75"/>
    </row>
    <row r="443" spans="1:9" ht="14.25">
      <c r="A443" s="50"/>
      <c r="B443" s="50"/>
      <c r="C443" s="51"/>
      <c r="D443" s="52"/>
      <c r="E443" s="53"/>
      <c r="F443" s="62"/>
      <c r="G443" s="62"/>
      <c r="H443" s="75"/>
      <c r="I443" s="75"/>
    </row>
    <row r="444" spans="1:9" ht="28.5">
      <c r="A444" s="44" t="s">
        <v>37</v>
      </c>
      <c r="B444" s="44" t="s">
        <v>364</v>
      </c>
      <c r="C444" s="65" t="s">
        <v>30</v>
      </c>
      <c r="D444" s="45" t="s">
        <v>31</v>
      </c>
      <c r="E444" s="45" t="s">
        <v>32</v>
      </c>
      <c r="F444" s="46" t="s">
        <v>33</v>
      </c>
      <c r="G444" s="46" t="s">
        <v>34</v>
      </c>
      <c r="H444" s="75"/>
      <c r="I444" s="75"/>
    </row>
    <row r="445" spans="1:9" ht="42">
      <c r="A445" s="531" t="e">
        <f>#REF!</f>
        <v>#REF!</v>
      </c>
      <c r="B445" s="55"/>
      <c r="C445" s="165" t="s">
        <v>191</v>
      </c>
      <c r="D445" s="45"/>
      <c r="E445" s="47"/>
      <c r="F445" s="48"/>
      <c r="G445" s="49"/>
      <c r="H445" s="75"/>
      <c r="I445" s="75"/>
    </row>
    <row r="446" spans="1:9" ht="14.25">
      <c r="A446" s="531"/>
      <c r="B446" s="166" t="s">
        <v>97</v>
      </c>
      <c r="C446" s="167" t="s">
        <v>172</v>
      </c>
      <c r="D446" s="168" t="s">
        <v>38</v>
      </c>
      <c r="E446" s="169">
        <v>1</v>
      </c>
      <c r="F446" s="170">
        <v>795.56</v>
      </c>
      <c r="G446" s="49">
        <f aca="true" t="shared" si="2" ref="G446:G465">E446*F446</f>
        <v>795.56</v>
      </c>
      <c r="H446" s="75"/>
      <c r="I446" s="75"/>
    </row>
    <row r="447" spans="1:9" ht="14.25">
      <c r="A447" s="531"/>
      <c r="B447" s="166" t="s">
        <v>97</v>
      </c>
      <c r="C447" s="167" t="s">
        <v>173</v>
      </c>
      <c r="D447" s="168" t="s">
        <v>38</v>
      </c>
      <c r="E447" s="169">
        <v>1</v>
      </c>
      <c r="F447" s="170">
        <v>560.74</v>
      </c>
      <c r="G447" s="49">
        <f t="shared" si="2"/>
        <v>560.74</v>
      </c>
      <c r="H447" s="75"/>
      <c r="I447" s="75"/>
    </row>
    <row r="448" spans="1:9" ht="14.25">
      <c r="A448" s="531"/>
      <c r="B448" s="166" t="s">
        <v>97</v>
      </c>
      <c r="C448" s="167" t="s">
        <v>174</v>
      </c>
      <c r="D448" s="168" t="s">
        <v>38</v>
      </c>
      <c r="E448" s="169">
        <v>1</v>
      </c>
      <c r="F448" s="170">
        <v>527.36</v>
      </c>
      <c r="G448" s="49">
        <f t="shared" si="2"/>
        <v>527.36</v>
      </c>
      <c r="H448" s="75"/>
      <c r="I448" s="75"/>
    </row>
    <row r="449" spans="1:9" ht="14.25">
      <c r="A449" s="531"/>
      <c r="B449" s="166" t="s">
        <v>97</v>
      </c>
      <c r="C449" s="167" t="s">
        <v>175</v>
      </c>
      <c r="D449" s="168" t="s">
        <v>28</v>
      </c>
      <c r="E449" s="169">
        <v>2.5</v>
      </c>
      <c r="F449" s="170">
        <v>47.59</v>
      </c>
      <c r="G449" s="49">
        <f t="shared" si="2"/>
        <v>118.97500000000001</v>
      </c>
      <c r="H449" s="75"/>
      <c r="I449" s="75"/>
    </row>
    <row r="450" spans="1:9" ht="14.25">
      <c r="A450" s="531"/>
      <c r="B450" s="166" t="s">
        <v>97</v>
      </c>
      <c r="C450" s="167" t="s">
        <v>176</v>
      </c>
      <c r="D450" s="168" t="s">
        <v>28</v>
      </c>
      <c r="E450" s="169">
        <v>4.5</v>
      </c>
      <c r="F450" s="170">
        <v>47.59</v>
      </c>
      <c r="G450" s="49">
        <f t="shared" si="2"/>
        <v>214.15500000000003</v>
      </c>
      <c r="H450" s="75"/>
      <c r="I450" s="75"/>
    </row>
    <row r="451" spans="1:9" ht="28.5" customHeight="1">
      <c r="A451" s="531"/>
      <c r="B451" s="166" t="s">
        <v>97</v>
      </c>
      <c r="C451" s="167" t="s">
        <v>177</v>
      </c>
      <c r="D451" s="168" t="s">
        <v>38</v>
      </c>
      <c r="E451" s="169">
        <v>20</v>
      </c>
      <c r="F451" s="170">
        <v>2.75</v>
      </c>
      <c r="G451" s="49">
        <f t="shared" si="2"/>
        <v>55</v>
      </c>
      <c r="H451" s="75"/>
      <c r="I451" s="75"/>
    </row>
    <row r="452" spans="1:9" ht="14.25">
      <c r="A452" s="531"/>
      <c r="B452" s="166">
        <v>11962</v>
      </c>
      <c r="C452" s="167" t="s">
        <v>178</v>
      </c>
      <c r="D452" s="168" t="s">
        <v>38</v>
      </c>
      <c r="E452" s="169">
        <v>40</v>
      </c>
      <c r="F452" s="170">
        <v>0.13</v>
      </c>
      <c r="G452" s="49">
        <f t="shared" si="2"/>
        <v>5.2</v>
      </c>
      <c r="H452" s="75"/>
      <c r="I452" s="75"/>
    </row>
    <row r="453" spans="1:9" ht="14.25">
      <c r="A453" s="531"/>
      <c r="B453" s="166" t="s">
        <v>97</v>
      </c>
      <c r="C453" s="167" t="s">
        <v>179</v>
      </c>
      <c r="D453" s="168" t="s">
        <v>38</v>
      </c>
      <c r="E453" s="169">
        <v>40</v>
      </c>
      <c r="F453" s="170">
        <v>0.43</v>
      </c>
      <c r="G453" s="49">
        <f t="shared" si="2"/>
        <v>17.2</v>
      </c>
      <c r="H453" s="75"/>
      <c r="I453" s="75"/>
    </row>
    <row r="454" spans="1:9" ht="28.5" customHeight="1">
      <c r="A454" s="531"/>
      <c r="B454" s="166" t="s">
        <v>97</v>
      </c>
      <c r="C454" s="167" t="s">
        <v>180</v>
      </c>
      <c r="D454" s="168" t="s">
        <v>38</v>
      </c>
      <c r="E454" s="169">
        <v>1</v>
      </c>
      <c r="F454" s="170">
        <v>14.74</v>
      </c>
      <c r="G454" s="49">
        <f t="shared" si="2"/>
        <v>14.74</v>
      </c>
      <c r="H454" s="75"/>
      <c r="I454" s="75"/>
    </row>
    <row r="455" spans="1:9" ht="14.25">
      <c r="A455" s="531"/>
      <c r="B455" s="166" t="s">
        <v>97</v>
      </c>
      <c r="C455" s="167" t="s">
        <v>181</v>
      </c>
      <c r="D455" s="168" t="s">
        <v>38</v>
      </c>
      <c r="E455" s="169">
        <v>1</v>
      </c>
      <c r="F455" s="170">
        <v>23.86</v>
      </c>
      <c r="G455" s="49">
        <f t="shared" si="2"/>
        <v>23.86</v>
      </c>
      <c r="H455" s="75"/>
      <c r="I455" s="75"/>
    </row>
    <row r="456" spans="1:9" ht="14.25">
      <c r="A456" s="531"/>
      <c r="B456" s="166" t="s">
        <v>97</v>
      </c>
      <c r="C456" s="167" t="s">
        <v>182</v>
      </c>
      <c r="D456" s="168" t="s">
        <v>183</v>
      </c>
      <c r="E456" s="169">
        <v>5</v>
      </c>
      <c r="F456" s="170">
        <v>8.43</v>
      </c>
      <c r="G456" s="49">
        <f t="shared" si="2"/>
        <v>42.15</v>
      </c>
      <c r="H456" s="75"/>
      <c r="I456" s="75"/>
    </row>
    <row r="457" spans="1:9" ht="14.25">
      <c r="A457" s="531"/>
      <c r="B457" s="166" t="s">
        <v>97</v>
      </c>
      <c r="C457" s="167" t="s">
        <v>184</v>
      </c>
      <c r="D457" s="168" t="s">
        <v>183</v>
      </c>
      <c r="E457" s="169">
        <v>13</v>
      </c>
      <c r="F457" s="170">
        <v>3.82</v>
      </c>
      <c r="G457" s="49">
        <f t="shared" si="2"/>
        <v>49.66</v>
      </c>
      <c r="H457" s="75"/>
      <c r="I457" s="75"/>
    </row>
    <row r="458" spans="1:9" ht="14.25">
      <c r="A458" s="531"/>
      <c r="B458" s="166" t="s">
        <v>97</v>
      </c>
      <c r="C458" s="167" t="s">
        <v>185</v>
      </c>
      <c r="D458" s="168" t="s">
        <v>38</v>
      </c>
      <c r="E458" s="169">
        <v>14</v>
      </c>
      <c r="F458" s="170">
        <v>0.15</v>
      </c>
      <c r="G458" s="49">
        <f t="shared" si="2"/>
        <v>2.1</v>
      </c>
      <c r="H458" s="75"/>
      <c r="I458" s="75"/>
    </row>
    <row r="459" spans="1:9" ht="14.25">
      <c r="A459" s="531"/>
      <c r="B459" s="166" t="s">
        <v>97</v>
      </c>
      <c r="C459" s="167" t="s">
        <v>186</v>
      </c>
      <c r="D459" s="168" t="s">
        <v>38</v>
      </c>
      <c r="E459" s="169">
        <v>4</v>
      </c>
      <c r="F459" s="170">
        <v>131.64</v>
      </c>
      <c r="G459" s="49">
        <f t="shared" si="2"/>
        <v>526.56</v>
      </c>
      <c r="H459" s="75"/>
      <c r="I459" s="75"/>
    </row>
    <row r="460" spans="1:9" ht="27.75">
      <c r="A460" s="531"/>
      <c r="B460" s="166">
        <v>982</v>
      </c>
      <c r="C460" s="167" t="s">
        <v>187</v>
      </c>
      <c r="D460" s="168" t="s">
        <v>42</v>
      </c>
      <c r="E460" s="169">
        <v>10</v>
      </c>
      <c r="F460" s="170">
        <v>3.09</v>
      </c>
      <c r="G460" s="49">
        <f t="shared" si="2"/>
        <v>30.9</v>
      </c>
      <c r="H460" s="75"/>
      <c r="I460" s="75"/>
    </row>
    <row r="461" spans="1:9" ht="14.25">
      <c r="A461" s="531"/>
      <c r="B461" s="166">
        <v>2436</v>
      </c>
      <c r="C461" s="167" t="s">
        <v>70</v>
      </c>
      <c r="D461" s="168" t="s">
        <v>60</v>
      </c>
      <c r="E461" s="169">
        <v>8</v>
      </c>
      <c r="F461" s="48">
        <v>11.31</v>
      </c>
      <c r="G461" s="49">
        <f t="shared" si="2"/>
        <v>90.48</v>
      </c>
      <c r="H461" s="75"/>
      <c r="I461" s="75"/>
    </row>
    <row r="462" spans="1:9" ht="14.25">
      <c r="A462" s="531"/>
      <c r="B462" s="55">
        <v>247</v>
      </c>
      <c r="C462" s="63" t="s">
        <v>284</v>
      </c>
      <c r="D462" s="168" t="s">
        <v>60</v>
      </c>
      <c r="E462" s="169">
        <v>8</v>
      </c>
      <c r="F462" s="48">
        <v>8.12</v>
      </c>
      <c r="G462" s="49">
        <f t="shared" si="2"/>
        <v>64.96</v>
      </c>
      <c r="H462" s="75"/>
      <c r="I462" s="75"/>
    </row>
    <row r="463" spans="1:9" ht="14.25">
      <c r="A463" s="531"/>
      <c r="B463" s="166">
        <v>6111</v>
      </c>
      <c r="C463" s="167" t="s">
        <v>188</v>
      </c>
      <c r="D463" s="168" t="s">
        <v>189</v>
      </c>
      <c r="E463" s="169">
        <v>5</v>
      </c>
      <c r="F463" s="170">
        <v>8.12</v>
      </c>
      <c r="G463" s="49">
        <f t="shared" si="2"/>
        <v>40.599999999999994</v>
      </c>
      <c r="H463" s="75"/>
      <c r="I463" s="75"/>
    </row>
    <row r="464" spans="1:9" ht="14.25">
      <c r="A464" s="531"/>
      <c r="B464" s="166">
        <v>4750</v>
      </c>
      <c r="C464" s="167" t="s">
        <v>76</v>
      </c>
      <c r="D464" s="168" t="s">
        <v>189</v>
      </c>
      <c r="E464" s="169">
        <v>5</v>
      </c>
      <c r="F464" s="170">
        <v>10.94</v>
      </c>
      <c r="G464" s="49">
        <f t="shared" si="2"/>
        <v>54.699999999999996</v>
      </c>
      <c r="H464" s="75"/>
      <c r="I464" s="75"/>
    </row>
    <row r="465" spans="1:9" ht="14.25">
      <c r="A465" s="531"/>
      <c r="B465" s="166">
        <v>2708</v>
      </c>
      <c r="C465" s="167" t="s">
        <v>190</v>
      </c>
      <c r="D465" s="168" t="s">
        <v>60</v>
      </c>
      <c r="E465" s="169">
        <v>3</v>
      </c>
      <c r="F465" s="170">
        <v>190.09</v>
      </c>
      <c r="G465" s="49">
        <f t="shared" si="2"/>
        <v>570.27</v>
      </c>
      <c r="H465" s="75"/>
      <c r="I465" s="75"/>
    </row>
    <row r="466" spans="1:9" ht="14.25">
      <c r="A466" s="50"/>
      <c r="B466" s="50"/>
      <c r="C466" s="51"/>
      <c r="D466" s="52"/>
      <c r="E466" s="53"/>
      <c r="F466" s="54" t="s">
        <v>35</v>
      </c>
      <c r="G466" s="54">
        <f>SUM(G446:G465)</f>
        <v>3805.169999999999</v>
      </c>
      <c r="H466" s="75"/>
      <c r="I466" s="75"/>
    </row>
    <row r="467" spans="1:9" ht="14.25">
      <c r="A467" s="50"/>
      <c r="B467" s="50"/>
      <c r="C467" s="51"/>
      <c r="D467" s="52"/>
      <c r="E467" s="53"/>
      <c r="F467" s="62"/>
      <c r="G467" s="62"/>
      <c r="H467" s="75"/>
      <c r="I467" s="75"/>
    </row>
    <row r="468" spans="1:9" ht="14.25">
      <c r="A468" s="50"/>
      <c r="B468" s="50"/>
      <c r="C468" s="51"/>
      <c r="D468" s="52"/>
      <c r="E468" s="53"/>
      <c r="F468" s="62"/>
      <c r="G468" s="62"/>
      <c r="H468" s="75"/>
      <c r="I468" s="75"/>
    </row>
    <row r="469" spans="1:9" ht="28.5">
      <c r="A469" s="44" t="s">
        <v>37</v>
      </c>
      <c r="B469" s="44" t="s">
        <v>364</v>
      </c>
      <c r="C469" s="65" t="s">
        <v>30</v>
      </c>
      <c r="D469" s="45" t="s">
        <v>31</v>
      </c>
      <c r="E469" s="45" t="s">
        <v>32</v>
      </c>
      <c r="F469" s="46" t="s">
        <v>33</v>
      </c>
      <c r="G469" s="46" t="s">
        <v>34</v>
      </c>
      <c r="H469" s="75"/>
      <c r="I469" s="75"/>
    </row>
    <row r="470" spans="1:9" ht="28.5">
      <c r="A470" s="531" t="e">
        <f>#REF!</f>
        <v>#REF!</v>
      </c>
      <c r="B470" s="55"/>
      <c r="C470" s="66" t="s">
        <v>282</v>
      </c>
      <c r="D470" s="45"/>
      <c r="E470" s="47"/>
      <c r="F470" s="48"/>
      <c r="G470" s="49"/>
      <c r="H470" s="75"/>
      <c r="I470" s="75"/>
    </row>
    <row r="471" spans="1:9" ht="28.5">
      <c r="A471" s="531"/>
      <c r="B471" s="35" t="s">
        <v>97</v>
      </c>
      <c r="C471" s="34" t="s">
        <v>283</v>
      </c>
      <c r="D471" s="58" t="s">
        <v>57</v>
      </c>
      <c r="E471" s="59">
        <v>1</v>
      </c>
      <c r="F471" s="108">
        <v>76.49</v>
      </c>
      <c r="G471" s="49">
        <f>E471*F471</f>
        <v>76.49</v>
      </c>
      <c r="H471" s="75"/>
      <c r="I471" s="75"/>
    </row>
    <row r="472" spans="1:9" ht="14.25">
      <c r="A472" s="531"/>
      <c r="B472" s="55">
        <v>247</v>
      </c>
      <c r="C472" s="63" t="s">
        <v>284</v>
      </c>
      <c r="D472" s="58" t="s">
        <v>36</v>
      </c>
      <c r="E472" s="59">
        <v>1</v>
      </c>
      <c r="F472" s="60">
        <v>8.12</v>
      </c>
      <c r="G472" s="49">
        <f>E472*F472</f>
        <v>8.12</v>
      </c>
      <c r="H472" s="75"/>
      <c r="I472" s="75"/>
    </row>
    <row r="473" spans="1:9" ht="14.25">
      <c r="A473" s="531"/>
      <c r="B473" s="55">
        <v>2436</v>
      </c>
      <c r="C473" s="57" t="s">
        <v>70</v>
      </c>
      <c r="D473" s="58" t="s">
        <v>36</v>
      </c>
      <c r="E473" s="61">
        <v>1</v>
      </c>
      <c r="F473" s="48">
        <v>11.31</v>
      </c>
      <c r="G473" s="49">
        <f>E473*F473</f>
        <v>11.31</v>
      </c>
      <c r="H473" s="75"/>
      <c r="I473" s="75"/>
    </row>
    <row r="474" spans="1:9" ht="14.25">
      <c r="A474" s="50"/>
      <c r="B474" s="50"/>
      <c r="C474" s="51"/>
      <c r="D474" s="52"/>
      <c r="E474" s="53"/>
      <c r="F474" s="32" t="s">
        <v>35</v>
      </c>
      <c r="G474" s="32">
        <f>SUM(G471:G473)</f>
        <v>95.92</v>
      </c>
      <c r="H474" s="75"/>
      <c r="I474" s="75"/>
    </row>
    <row r="475" spans="1:9" ht="14.25">
      <c r="A475" s="50"/>
      <c r="B475" s="50"/>
      <c r="C475" s="51"/>
      <c r="D475" s="52"/>
      <c r="E475" s="53"/>
      <c r="F475" s="62"/>
      <c r="G475" s="62"/>
      <c r="H475" s="75"/>
      <c r="I475" s="75"/>
    </row>
    <row r="476" spans="1:9" ht="14.25">
      <c r="A476" s="50"/>
      <c r="B476" s="50"/>
      <c r="C476" s="51"/>
      <c r="D476" s="52"/>
      <c r="E476" s="53"/>
      <c r="F476" s="62"/>
      <c r="G476" s="62"/>
      <c r="H476" s="75"/>
      <c r="I476" s="75"/>
    </row>
    <row r="477" spans="1:9" ht="28.5">
      <c r="A477" s="44" t="s">
        <v>37</v>
      </c>
      <c r="B477" s="44" t="s">
        <v>364</v>
      </c>
      <c r="C477" s="65" t="s">
        <v>30</v>
      </c>
      <c r="D477" s="45" t="s">
        <v>31</v>
      </c>
      <c r="E477" s="45" t="s">
        <v>32</v>
      </c>
      <c r="F477" s="46" t="s">
        <v>33</v>
      </c>
      <c r="G477" s="46" t="s">
        <v>34</v>
      </c>
      <c r="H477" s="75"/>
      <c r="I477" s="75"/>
    </row>
    <row r="478" spans="1:9" ht="14.25">
      <c r="A478" s="528" t="e">
        <f>#REF!</f>
        <v>#REF!</v>
      </c>
      <c r="B478" s="55"/>
      <c r="C478" s="66" t="s">
        <v>276</v>
      </c>
      <c r="D478" s="45"/>
      <c r="E478" s="47"/>
      <c r="F478" s="48"/>
      <c r="G478" s="49"/>
      <c r="H478" s="75"/>
      <c r="I478" s="75"/>
    </row>
    <row r="479" spans="1:9" ht="14.25">
      <c r="A479" s="529"/>
      <c r="B479" s="35" t="s">
        <v>97</v>
      </c>
      <c r="C479" s="34" t="s">
        <v>275</v>
      </c>
      <c r="D479" s="58" t="s">
        <v>42</v>
      </c>
      <c r="E479" s="59">
        <v>1</v>
      </c>
      <c r="F479" s="60">
        <v>11.2</v>
      </c>
      <c r="G479" s="49">
        <f>E479*F479</f>
        <v>11.2</v>
      </c>
      <c r="H479" s="75"/>
      <c r="I479" s="75"/>
    </row>
    <row r="480" spans="1:9" ht="14.25">
      <c r="A480" s="529"/>
      <c r="B480" s="55">
        <v>247</v>
      </c>
      <c r="C480" s="63" t="s">
        <v>284</v>
      </c>
      <c r="D480" s="58" t="s">
        <v>36</v>
      </c>
      <c r="E480" s="59">
        <v>0.3</v>
      </c>
      <c r="F480" s="60">
        <v>8.12</v>
      </c>
      <c r="G480" s="49">
        <f>E480*F480</f>
        <v>2.4359999999999995</v>
      </c>
      <c r="H480" s="75"/>
      <c r="I480" s="75"/>
    </row>
    <row r="481" spans="1:9" ht="14.25">
      <c r="A481" s="530"/>
      <c r="B481" s="55">
        <v>2436</v>
      </c>
      <c r="C481" s="57" t="s">
        <v>70</v>
      </c>
      <c r="D481" s="58" t="s">
        <v>36</v>
      </c>
      <c r="E481" s="61">
        <v>0.3</v>
      </c>
      <c r="F481" s="48">
        <v>11.31</v>
      </c>
      <c r="G481" s="49">
        <f>E481*F481</f>
        <v>3.3930000000000002</v>
      </c>
      <c r="H481" s="75"/>
      <c r="I481" s="75"/>
    </row>
    <row r="482" spans="1:9" ht="14.25">
      <c r="A482" s="50"/>
      <c r="B482" s="50"/>
      <c r="C482" s="51"/>
      <c r="D482" s="52"/>
      <c r="E482" s="53"/>
      <c r="F482" s="54" t="s">
        <v>35</v>
      </c>
      <c r="G482" s="54">
        <f>SUM(G479:G481)</f>
        <v>17.029</v>
      </c>
      <c r="H482" s="75"/>
      <c r="I482" s="75"/>
    </row>
    <row r="483" spans="1:9" ht="14.25">
      <c r="A483" s="50"/>
      <c r="B483" s="50"/>
      <c r="C483" s="51"/>
      <c r="D483" s="52"/>
      <c r="E483" s="53"/>
      <c r="F483" s="62"/>
      <c r="G483" s="62"/>
      <c r="H483" s="75"/>
      <c r="I483" s="75"/>
    </row>
    <row r="484" spans="1:9" ht="14.25">
      <c r="A484" s="50"/>
      <c r="B484" s="50"/>
      <c r="C484" s="51"/>
      <c r="D484" s="52"/>
      <c r="E484" s="53"/>
      <c r="F484" s="62"/>
      <c r="G484" s="62"/>
      <c r="H484" s="75"/>
      <c r="I484" s="75"/>
    </row>
    <row r="485" spans="1:9" ht="28.5">
      <c r="A485" s="44" t="s">
        <v>37</v>
      </c>
      <c r="B485" s="44" t="s">
        <v>364</v>
      </c>
      <c r="C485" s="65" t="s">
        <v>30</v>
      </c>
      <c r="D485" s="45" t="s">
        <v>31</v>
      </c>
      <c r="E485" s="45" t="s">
        <v>32</v>
      </c>
      <c r="F485" s="46" t="s">
        <v>33</v>
      </c>
      <c r="G485" s="46" t="s">
        <v>34</v>
      </c>
      <c r="H485" s="75"/>
      <c r="I485" s="75"/>
    </row>
    <row r="486" spans="1:9" ht="14.25">
      <c r="A486" s="531" t="e">
        <f>#REF!</f>
        <v>#REF!</v>
      </c>
      <c r="B486" s="55"/>
      <c r="C486" s="66" t="s">
        <v>162</v>
      </c>
      <c r="D486" s="45"/>
      <c r="E486" s="47"/>
      <c r="F486" s="48"/>
      <c r="G486" s="49"/>
      <c r="H486" s="75"/>
      <c r="I486" s="75"/>
    </row>
    <row r="487" spans="1:9" ht="14.25">
      <c r="A487" s="531"/>
      <c r="B487" s="35" t="s">
        <v>97</v>
      </c>
      <c r="C487" s="34" t="s">
        <v>163</v>
      </c>
      <c r="D487" s="58" t="s">
        <v>42</v>
      </c>
      <c r="E487" s="59">
        <v>1</v>
      </c>
      <c r="F487" s="60">
        <v>13.42</v>
      </c>
      <c r="G487" s="49">
        <f>E487*F487</f>
        <v>13.42</v>
      </c>
      <c r="H487" s="75"/>
      <c r="I487" s="75"/>
    </row>
    <row r="488" spans="1:9" ht="14.25">
      <c r="A488" s="531"/>
      <c r="B488" s="55">
        <v>247</v>
      </c>
      <c r="C488" s="63" t="s">
        <v>284</v>
      </c>
      <c r="D488" s="58" t="s">
        <v>36</v>
      </c>
      <c r="E488" s="59">
        <v>0.3</v>
      </c>
      <c r="F488" s="60">
        <v>8.12</v>
      </c>
      <c r="G488" s="49">
        <f>E488*F488</f>
        <v>2.4359999999999995</v>
      </c>
      <c r="H488" s="75"/>
      <c r="I488" s="75"/>
    </row>
    <row r="489" spans="1:9" ht="14.25">
      <c r="A489" s="531"/>
      <c r="B489" s="55">
        <v>2436</v>
      </c>
      <c r="C489" s="57" t="s">
        <v>70</v>
      </c>
      <c r="D489" s="58" t="s">
        <v>36</v>
      </c>
      <c r="E489" s="61">
        <v>0.3</v>
      </c>
      <c r="F489" s="48">
        <v>11.31</v>
      </c>
      <c r="G489" s="49">
        <f>E489*F489</f>
        <v>3.3930000000000002</v>
      </c>
      <c r="H489" s="75"/>
      <c r="I489" s="75"/>
    </row>
    <row r="490" spans="1:9" ht="14.25">
      <c r="A490" s="50"/>
      <c r="B490" s="50"/>
      <c r="C490" s="51"/>
      <c r="D490" s="52"/>
      <c r="E490" s="53"/>
      <c r="F490" s="54" t="s">
        <v>35</v>
      </c>
      <c r="G490" s="54">
        <f>SUM(G487:G489)</f>
        <v>19.249</v>
      </c>
      <c r="H490" s="75"/>
      <c r="I490" s="75"/>
    </row>
    <row r="491" spans="2:9" ht="14.25">
      <c r="B491" s="75"/>
      <c r="C491" s="75"/>
      <c r="D491" s="75"/>
      <c r="E491" s="75"/>
      <c r="F491" s="75"/>
      <c r="G491" s="75"/>
      <c r="H491" s="75"/>
      <c r="I491" s="75"/>
    </row>
    <row r="492" spans="2:9" ht="14.25">
      <c r="B492" s="75"/>
      <c r="C492" s="75"/>
      <c r="D492" s="75"/>
      <c r="E492" s="75"/>
      <c r="F492" s="75"/>
      <c r="G492" s="75"/>
      <c r="H492" s="75"/>
      <c r="I492" s="75"/>
    </row>
    <row r="493" spans="1:9" ht="28.5">
      <c r="A493" s="44" t="s">
        <v>37</v>
      </c>
      <c r="B493" s="44" t="s">
        <v>364</v>
      </c>
      <c r="C493" s="65" t="s">
        <v>30</v>
      </c>
      <c r="D493" s="45" t="s">
        <v>31</v>
      </c>
      <c r="E493" s="45" t="s">
        <v>32</v>
      </c>
      <c r="F493" s="46" t="s">
        <v>33</v>
      </c>
      <c r="G493" s="46" t="s">
        <v>34</v>
      </c>
      <c r="H493" s="75"/>
      <c r="I493" s="75"/>
    </row>
    <row r="494" spans="1:9" ht="28.5">
      <c r="A494" s="531" t="e">
        <f>#REF!</f>
        <v>#REF!</v>
      </c>
      <c r="B494" s="55"/>
      <c r="C494" s="66" t="s">
        <v>372</v>
      </c>
      <c r="D494" s="45"/>
      <c r="E494" s="47"/>
      <c r="F494" s="48"/>
      <c r="G494" s="49"/>
      <c r="H494" s="75"/>
      <c r="I494" s="75"/>
    </row>
    <row r="495" spans="1:9" ht="28.5">
      <c r="A495" s="531"/>
      <c r="B495" s="171" t="s">
        <v>285</v>
      </c>
      <c r="C495" s="114" t="s">
        <v>286</v>
      </c>
      <c r="D495" s="172" t="s">
        <v>27</v>
      </c>
      <c r="E495" s="172">
        <v>0.5</v>
      </c>
      <c r="F495" s="173">
        <v>28.4</v>
      </c>
      <c r="G495" s="49">
        <f>E495*F495</f>
        <v>14.2</v>
      </c>
      <c r="H495" s="75"/>
      <c r="I495" s="75"/>
    </row>
    <row r="496" spans="1:9" ht="14.25">
      <c r="A496" s="531"/>
      <c r="B496" s="171">
        <v>342</v>
      </c>
      <c r="C496" s="114" t="s">
        <v>287</v>
      </c>
      <c r="D496" s="172" t="s">
        <v>28</v>
      </c>
      <c r="E496" s="172">
        <v>0.4</v>
      </c>
      <c r="F496" s="173">
        <v>9.95</v>
      </c>
      <c r="G496" s="49">
        <f aca="true" t="shared" si="3" ref="G496:G529">E496*F496</f>
        <v>3.98</v>
      </c>
      <c r="H496" s="75"/>
      <c r="I496" s="75"/>
    </row>
    <row r="497" spans="1:9" ht="28.5">
      <c r="A497" s="531"/>
      <c r="B497" s="171">
        <v>995</v>
      </c>
      <c r="C497" s="114" t="s">
        <v>365</v>
      </c>
      <c r="D497" s="172" t="s">
        <v>42</v>
      </c>
      <c r="E497" s="172">
        <v>5</v>
      </c>
      <c r="F497" s="173">
        <v>7.38</v>
      </c>
      <c r="G497" s="49">
        <f t="shared" si="3"/>
        <v>36.9</v>
      </c>
      <c r="H497" s="75"/>
      <c r="I497" s="75"/>
    </row>
    <row r="498" spans="1:9" ht="32.25" customHeight="1">
      <c r="A498" s="531"/>
      <c r="B498" s="171">
        <v>998</v>
      </c>
      <c r="C498" s="114" t="s">
        <v>366</v>
      </c>
      <c r="D498" s="172" t="s">
        <v>42</v>
      </c>
      <c r="E498" s="172">
        <v>76</v>
      </c>
      <c r="F498" s="173">
        <v>39.74</v>
      </c>
      <c r="G498" s="49">
        <f t="shared" si="3"/>
        <v>3020.2400000000002</v>
      </c>
      <c r="H498" s="75"/>
      <c r="I498" s="75"/>
    </row>
    <row r="499" spans="1:9" ht="28.5">
      <c r="A499" s="531"/>
      <c r="B499" s="171">
        <v>1018</v>
      </c>
      <c r="C499" s="114" t="s">
        <v>288</v>
      </c>
      <c r="D499" s="172" t="s">
        <v>42</v>
      </c>
      <c r="E499" s="172">
        <v>10</v>
      </c>
      <c r="F499" s="173">
        <v>21.75</v>
      </c>
      <c r="G499" s="49">
        <f t="shared" si="3"/>
        <v>217.5</v>
      </c>
      <c r="H499" s="75"/>
      <c r="I499" s="75"/>
    </row>
    <row r="500" spans="1:9" ht="14.25">
      <c r="A500" s="531"/>
      <c r="B500" s="171">
        <v>2378</v>
      </c>
      <c r="C500" s="114" t="s">
        <v>367</v>
      </c>
      <c r="D500" s="172" t="s">
        <v>38</v>
      </c>
      <c r="E500" s="172">
        <v>1</v>
      </c>
      <c r="F500" s="173">
        <v>812.44</v>
      </c>
      <c r="G500" s="49">
        <f t="shared" si="3"/>
        <v>812.44</v>
      </c>
      <c r="H500" s="75"/>
      <c r="I500" s="75"/>
    </row>
    <row r="501" spans="1:9" ht="14.25">
      <c r="A501" s="531"/>
      <c r="B501" s="174">
        <v>68069</v>
      </c>
      <c r="C501" s="114" t="s">
        <v>310</v>
      </c>
      <c r="D501" s="172" t="s">
        <v>38</v>
      </c>
      <c r="E501" s="172">
        <v>10</v>
      </c>
      <c r="F501" s="173">
        <v>35.14</v>
      </c>
      <c r="G501" s="49">
        <f t="shared" si="3"/>
        <v>351.4</v>
      </c>
      <c r="H501" s="75"/>
      <c r="I501" s="75"/>
    </row>
    <row r="502" spans="1:9" ht="14.25">
      <c r="A502" s="531"/>
      <c r="B502" s="171" t="s">
        <v>97</v>
      </c>
      <c r="C502" s="114" t="s">
        <v>289</v>
      </c>
      <c r="D502" s="172" t="s">
        <v>38</v>
      </c>
      <c r="E502" s="172">
        <v>3</v>
      </c>
      <c r="F502" s="173">
        <v>13.165</v>
      </c>
      <c r="G502" s="49">
        <f t="shared" si="3"/>
        <v>39.495</v>
      </c>
      <c r="H502" s="75"/>
      <c r="I502" s="75"/>
    </row>
    <row r="503" spans="1:7" ht="14.25">
      <c r="A503" s="531"/>
      <c r="B503" s="171" t="s">
        <v>97</v>
      </c>
      <c r="C503" s="114" t="s">
        <v>290</v>
      </c>
      <c r="D503" s="172" t="s">
        <v>38</v>
      </c>
      <c r="E503" s="172">
        <v>3</v>
      </c>
      <c r="F503" s="173">
        <v>185.23</v>
      </c>
      <c r="G503" s="49">
        <f t="shared" si="3"/>
        <v>555.6899999999999</v>
      </c>
    </row>
    <row r="504" spans="1:7" ht="14.25">
      <c r="A504" s="531"/>
      <c r="B504" s="171" t="s">
        <v>97</v>
      </c>
      <c r="C504" s="114" t="s">
        <v>291</v>
      </c>
      <c r="D504" s="172" t="s">
        <v>38</v>
      </c>
      <c r="E504" s="172">
        <v>6</v>
      </c>
      <c r="F504" s="173">
        <v>7.72</v>
      </c>
      <c r="G504" s="49">
        <f t="shared" si="3"/>
        <v>46.32</v>
      </c>
    </row>
    <row r="505" spans="1:7" ht="14.25">
      <c r="A505" s="531"/>
      <c r="B505" s="171" t="s">
        <v>97</v>
      </c>
      <c r="C505" s="114" t="s">
        <v>292</v>
      </c>
      <c r="D505" s="172" t="s">
        <v>38</v>
      </c>
      <c r="E505" s="172">
        <v>4</v>
      </c>
      <c r="F505" s="173">
        <v>3.66</v>
      </c>
      <c r="G505" s="49">
        <f t="shared" si="3"/>
        <v>14.64</v>
      </c>
    </row>
    <row r="506" spans="1:7" ht="14.25">
      <c r="A506" s="531"/>
      <c r="B506" s="171" t="s">
        <v>97</v>
      </c>
      <c r="C506" s="114" t="s">
        <v>293</v>
      </c>
      <c r="D506" s="172" t="s">
        <v>38</v>
      </c>
      <c r="E506" s="172">
        <v>1</v>
      </c>
      <c r="F506" s="173">
        <v>6.09</v>
      </c>
      <c r="G506" s="49">
        <f t="shared" si="3"/>
        <v>6.09</v>
      </c>
    </row>
    <row r="507" spans="1:7" ht="14.25">
      <c r="A507" s="531"/>
      <c r="B507" s="171" t="s">
        <v>97</v>
      </c>
      <c r="C507" s="114" t="s">
        <v>294</v>
      </c>
      <c r="D507" s="172" t="s">
        <v>38</v>
      </c>
      <c r="E507" s="172">
        <v>1</v>
      </c>
      <c r="F507" s="173">
        <v>5.98</v>
      </c>
      <c r="G507" s="49">
        <f t="shared" si="3"/>
        <v>5.98</v>
      </c>
    </row>
    <row r="508" spans="1:7" ht="14.25">
      <c r="A508" s="531"/>
      <c r="B508" s="171" t="s">
        <v>97</v>
      </c>
      <c r="C508" s="114" t="s">
        <v>295</v>
      </c>
      <c r="D508" s="172" t="s">
        <v>38</v>
      </c>
      <c r="E508" s="172">
        <v>3</v>
      </c>
      <c r="F508" s="173">
        <v>9.56</v>
      </c>
      <c r="G508" s="49">
        <f t="shared" si="3"/>
        <v>28.68</v>
      </c>
    </row>
    <row r="509" spans="1:7" ht="14.25">
      <c r="A509" s="531"/>
      <c r="B509" s="171" t="s">
        <v>97</v>
      </c>
      <c r="C509" s="114" t="s">
        <v>296</v>
      </c>
      <c r="D509" s="172" t="s">
        <v>38</v>
      </c>
      <c r="E509" s="172">
        <v>3</v>
      </c>
      <c r="F509" s="173">
        <v>6.57</v>
      </c>
      <c r="G509" s="49">
        <f t="shared" si="3"/>
        <v>19.71</v>
      </c>
    </row>
    <row r="510" spans="1:7" ht="14.25">
      <c r="A510" s="531"/>
      <c r="B510" s="171" t="s">
        <v>97</v>
      </c>
      <c r="C510" s="114" t="s">
        <v>297</v>
      </c>
      <c r="D510" s="172" t="s">
        <v>38</v>
      </c>
      <c r="E510" s="172">
        <v>3</v>
      </c>
      <c r="F510" s="173">
        <v>11.79</v>
      </c>
      <c r="G510" s="49">
        <f t="shared" si="3"/>
        <v>35.37</v>
      </c>
    </row>
    <row r="511" spans="1:7" ht="14.25">
      <c r="A511" s="531"/>
      <c r="B511" s="171" t="s">
        <v>97</v>
      </c>
      <c r="C511" s="114" t="s">
        <v>298</v>
      </c>
      <c r="D511" s="172" t="s">
        <v>38</v>
      </c>
      <c r="E511" s="172">
        <v>3</v>
      </c>
      <c r="F511" s="173">
        <v>5.46</v>
      </c>
      <c r="G511" s="49">
        <f t="shared" si="3"/>
        <v>16.38</v>
      </c>
    </row>
    <row r="512" spans="1:7" ht="14.25">
      <c r="A512" s="531"/>
      <c r="B512" s="171" t="s">
        <v>97</v>
      </c>
      <c r="C512" s="114" t="s">
        <v>299</v>
      </c>
      <c r="D512" s="172" t="s">
        <v>38</v>
      </c>
      <c r="E512" s="172">
        <v>3</v>
      </c>
      <c r="F512" s="173">
        <v>9.69</v>
      </c>
      <c r="G512" s="49">
        <f t="shared" si="3"/>
        <v>29.07</v>
      </c>
    </row>
    <row r="513" spans="1:7" ht="14.25">
      <c r="A513" s="531"/>
      <c r="B513" s="171" t="s">
        <v>97</v>
      </c>
      <c r="C513" s="114" t="s">
        <v>300</v>
      </c>
      <c r="D513" s="172" t="s">
        <v>301</v>
      </c>
      <c r="E513" s="172">
        <v>3</v>
      </c>
      <c r="F513" s="173">
        <v>6.66</v>
      </c>
      <c r="G513" s="49">
        <f t="shared" si="3"/>
        <v>19.98</v>
      </c>
    </row>
    <row r="514" spans="1:7" ht="14.25">
      <c r="A514" s="531"/>
      <c r="B514" s="171" t="s">
        <v>97</v>
      </c>
      <c r="C514" s="114" t="s">
        <v>302</v>
      </c>
      <c r="D514" s="172" t="s">
        <v>38</v>
      </c>
      <c r="E514" s="172">
        <v>3</v>
      </c>
      <c r="F514" s="173">
        <v>2</v>
      </c>
      <c r="G514" s="49">
        <f t="shared" si="3"/>
        <v>6</v>
      </c>
    </row>
    <row r="515" spans="1:7" ht="15" customHeight="1">
      <c r="A515" s="531"/>
      <c r="B515" s="171">
        <v>7619</v>
      </c>
      <c r="C515" s="114" t="s">
        <v>368</v>
      </c>
      <c r="D515" s="172" t="s">
        <v>38</v>
      </c>
      <c r="E515" s="172">
        <v>1</v>
      </c>
      <c r="F515" s="173">
        <v>8944.2</v>
      </c>
      <c r="G515" s="49">
        <f t="shared" si="3"/>
        <v>8944.2</v>
      </c>
    </row>
    <row r="516" spans="1:7" ht="14.25">
      <c r="A516" s="531"/>
      <c r="B516" s="171" t="s">
        <v>97</v>
      </c>
      <c r="C516" s="114" t="s">
        <v>303</v>
      </c>
      <c r="D516" s="172" t="s">
        <v>304</v>
      </c>
      <c r="E516" s="172">
        <v>0.5</v>
      </c>
      <c r="F516" s="173">
        <v>19.2</v>
      </c>
      <c r="G516" s="49">
        <f t="shared" si="3"/>
        <v>9.6</v>
      </c>
    </row>
    <row r="517" spans="1:7" ht="14.25">
      <c r="A517" s="531"/>
      <c r="B517" s="171" t="s">
        <v>97</v>
      </c>
      <c r="C517" s="114" t="s">
        <v>305</v>
      </c>
      <c r="D517" s="172" t="s">
        <v>38</v>
      </c>
      <c r="E517" s="172">
        <v>1</v>
      </c>
      <c r="F517" s="173">
        <v>126.04</v>
      </c>
      <c r="G517" s="49">
        <f t="shared" si="3"/>
        <v>126.04</v>
      </c>
    </row>
    <row r="518" spans="1:7" ht="14.25">
      <c r="A518" s="531"/>
      <c r="B518" s="171" t="s">
        <v>97</v>
      </c>
      <c r="C518" s="114" t="s">
        <v>306</v>
      </c>
      <c r="D518" s="172" t="s">
        <v>38</v>
      </c>
      <c r="E518" s="172">
        <v>3</v>
      </c>
      <c r="F518" s="173">
        <v>11.79</v>
      </c>
      <c r="G518" s="49">
        <f t="shared" si="3"/>
        <v>35.37</v>
      </c>
    </row>
    <row r="519" spans="1:7" ht="22.5" customHeight="1">
      <c r="A519" s="531"/>
      <c r="B519" s="171" t="s">
        <v>97</v>
      </c>
      <c r="C519" s="114" t="s">
        <v>307</v>
      </c>
      <c r="D519" s="172" t="s">
        <v>38</v>
      </c>
      <c r="E519" s="172">
        <v>1</v>
      </c>
      <c r="F519" s="173">
        <v>11.79</v>
      </c>
      <c r="G519" s="49">
        <f t="shared" si="3"/>
        <v>11.79</v>
      </c>
    </row>
    <row r="520" spans="1:7" ht="32.25" customHeight="1">
      <c r="A520" s="531"/>
      <c r="B520" s="171">
        <v>21133</v>
      </c>
      <c r="C520" s="114" t="s">
        <v>369</v>
      </c>
      <c r="D520" s="172" t="s">
        <v>42</v>
      </c>
      <c r="E520" s="172">
        <v>12</v>
      </c>
      <c r="F520" s="173">
        <v>26.79</v>
      </c>
      <c r="G520" s="49">
        <f t="shared" si="3"/>
        <v>321.48</v>
      </c>
    </row>
    <row r="521" spans="1:7" ht="14.25">
      <c r="A521" s="531"/>
      <c r="B521" s="171">
        <v>3914</v>
      </c>
      <c r="C521" s="114" t="s">
        <v>370</v>
      </c>
      <c r="D521" s="172" t="s">
        <v>38</v>
      </c>
      <c r="E521" s="172">
        <v>4</v>
      </c>
      <c r="F521" s="173">
        <v>57.01</v>
      </c>
      <c r="G521" s="49">
        <f t="shared" si="3"/>
        <v>228.04</v>
      </c>
    </row>
    <row r="522" spans="1:7" ht="14.25">
      <c r="A522" s="531"/>
      <c r="B522" s="174">
        <v>2629</v>
      </c>
      <c r="C522" s="175" t="s">
        <v>371</v>
      </c>
      <c r="D522" s="172" t="s">
        <v>38</v>
      </c>
      <c r="E522" s="172">
        <v>2</v>
      </c>
      <c r="F522" s="49">
        <v>14.22</v>
      </c>
      <c r="G522" s="49">
        <f t="shared" si="3"/>
        <v>28.44</v>
      </c>
    </row>
    <row r="523" spans="1:7" ht="14.25">
      <c r="A523" s="531"/>
      <c r="B523" s="174" t="s">
        <v>97</v>
      </c>
      <c r="C523" s="175" t="s">
        <v>308</v>
      </c>
      <c r="D523" s="172" t="s">
        <v>38</v>
      </c>
      <c r="E523" s="172">
        <v>5</v>
      </c>
      <c r="F523" s="49">
        <v>6.5</v>
      </c>
      <c r="G523" s="49">
        <f t="shared" si="3"/>
        <v>32.5</v>
      </c>
    </row>
    <row r="524" spans="1:7" ht="14.25">
      <c r="A524" s="531"/>
      <c r="B524" s="174" t="s">
        <v>97</v>
      </c>
      <c r="C524" s="175" t="s">
        <v>309</v>
      </c>
      <c r="D524" s="172" t="s">
        <v>38</v>
      </c>
      <c r="E524" s="172">
        <v>3</v>
      </c>
      <c r="F524" s="49">
        <v>142</v>
      </c>
      <c r="G524" s="49">
        <f t="shared" si="3"/>
        <v>426</v>
      </c>
    </row>
    <row r="525" spans="1:7" ht="14.25">
      <c r="A525" s="531"/>
      <c r="B525" s="174">
        <v>3356</v>
      </c>
      <c r="C525" s="175" t="s">
        <v>100</v>
      </c>
      <c r="D525" s="172" t="s">
        <v>36</v>
      </c>
      <c r="E525" s="172">
        <v>8</v>
      </c>
      <c r="F525" s="49">
        <v>139.5</v>
      </c>
      <c r="G525" s="49">
        <f t="shared" si="3"/>
        <v>1116</v>
      </c>
    </row>
    <row r="526" spans="1:7" ht="14.25">
      <c r="A526" s="531"/>
      <c r="B526" s="174">
        <v>4096</v>
      </c>
      <c r="C526" s="175" t="s">
        <v>99</v>
      </c>
      <c r="D526" s="172" t="s">
        <v>36</v>
      </c>
      <c r="E526" s="172">
        <v>8</v>
      </c>
      <c r="F526" s="49">
        <v>15.21</v>
      </c>
      <c r="G526" s="49">
        <f t="shared" si="3"/>
        <v>121.68</v>
      </c>
    </row>
    <row r="527" spans="1:7" ht="14.25">
      <c r="A527" s="531"/>
      <c r="B527" s="174">
        <v>6111</v>
      </c>
      <c r="C527" s="175" t="s">
        <v>77</v>
      </c>
      <c r="D527" s="172" t="s">
        <v>36</v>
      </c>
      <c r="E527" s="172">
        <v>4</v>
      </c>
      <c r="F527" s="49">
        <v>8.12</v>
      </c>
      <c r="G527" s="49">
        <f t="shared" si="3"/>
        <v>32.48</v>
      </c>
    </row>
    <row r="528" spans="1:7" ht="14.25">
      <c r="A528" s="531"/>
      <c r="B528" s="174">
        <v>247</v>
      </c>
      <c r="C528" s="175" t="s">
        <v>284</v>
      </c>
      <c r="D528" s="172" t="s">
        <v>36</v>
      </c>
      <c r="E528" s="172">
        <v>8</v>
      </c>
      <c r="F528" s="49">
        <v>8.12</v>
      </c>
      <c r="G528" s="49">
        <f t="shared" si="3"/>
        <v>64.96</v>
      </c>
    </row>
    <row r="529" spans="1:7" ht="14.25">
      <c r="A529" s="531"/>
      <c r="B529" s="174">
        <v>2436</v>
      </c>
      <c r="C529" s="175" t="s">
        <v>70</v>
      </c>
      <c r="D529" s="172" t="s">
        <v>36</v>
      </c>
      <c r="E529" s="172">
        <v>8</v>
      </c>
      <c r="F529" s="49">
        <v>11.31</v>
      </c>
      <c r="G529" s="49">
        <f t="shared" si="3"/>
        <v>90.48</v>
      </c>
    </row>
    <row r="530" spans="1:7" ht="14.25">
      <c r="A530" s="50"/>
      <c r="B530" s="50"/>
      <c r="C530" s="51"/>
      <c r="D530" s="52"/>
      <c r="E530" s="53"/>
      <c r="F530" s="54" t="s">
        <v>35</v>
      </c>
      <c r="G530" s="54">
        <f>SUM(G495:G529)</f>
        <v>16869.125</v>
      </c>
    </row>
    <row r="531" spans="1:7" ht="14.25">
      <c r="A531" s="50"/>
      <c r="B531" s="50"/>
      <c r="C531" s="51"/>
      <c r="D531" s="52"/>
      <c r="E531" s="53"/>
      <c r="F531" s="62"/>
      <c r="G531" s="62"/>
    </row>
    <row r="532" spans="2:7" ht="14.25">
      <c r="B532" s="75"/>
      <c r="C532" s="75"/>
      <c r="D532" s="75"/>
      <c r="E532" s="75"/>
      <c r="F532" s="75"/>
      <c r="G532" s="75"/>
    </row>
    <row r="533" spans="1:7" ht="28.5">
      <c r="A533" s="44" t="s">
        <v>37</v>
      </c>
      <c r="B533" s="44" t="s">
        <v>364</v>
      </c>
      <c r="C533" s="44" t="s">
        <v>30</v>
      </c>
      <c r="D533" s="45" t="s">
        <v>31</v>
      </c>
      <c r="E533" s="45" t="s">
        <v>32</v>
      </c>
      <c r="F533" s="46" t="s">
        <v>33</v>
      </c>
      <c r="G533" s="46" t="s">
        <v>34</v>
      </c>
    </row>
    <row r="534" spans="1:7" ht="28.5">
      <c r="A534" s="536" t="e">
        <f>#REF!</f>
        <v>#REF!</v>
      </c>
      <c r="B534" s="55"/>
      <c r="C534" s="56" t="s">
        <v>81</v>
      </c>
      <c r="D534" s="45"/>
      <c r="E534" s="47"/>
      <c r="F534" s="48"/>
      <c r="G534" s="49"/>
    </row>
    <row r="535" spans="1:7" ht="28.5">
      <c r="A535" s="537"/>
      <c r="B535" s="55" t="s">
        <v>97</v>
      </c>
      <c r="C535" s="57" t="s">
        <v>67</v>
      </c>
      <c r="D535" s="58" t="s">
        <v>57</v>
      </c>
      <c r="E535" s="59">
        <v>1</v>
      </c>
      <c r="F535" s="60">
        <v>2.83</v>
      </c>
      <c r="G535" s="49">
        <f>E535*F535</f>
        <v>2.83</v>
      </c>
    </row>
    <row r="536" spans="1:7" ht="14.25">
      <c r="A536" s="538"/>
      <c r="B536" s="55">
        <v>6115</v>
      </c>
      <c r="C536" s="57" t="s">
        <v>66</v>
      </c>
      <c r="D536" s="58" t="s">
        <v>36</v>
      </c>
      <c r="E536" s="61">
        <v>0.33</v>
      </c>
      <c r="F536" s="48">
        <v>8.12</v>
      </c>
      <c r="G536" s="49">
        <f>E536*F536</f>
        <v>2.6795999999999998</v>
      </c>
    </row>
    <row r="537" spans="1:7" ht="14.25">
      <c r="A537" s="50"/>
      <c r="B537" s="50"/>
      <c r="C537" s="51"/>
      <c r="D537" s="52"/>
      <c r="E537" s="53"/>
      <c r="F537" s="32" t="s">
        <v>35</v>
      </c>
      <c r="G537" s="32">
        <f>SUM(G535:G536)</f>
        <v>5.5096</v>
      </c>
    </row>
    <row r="538" spans="1:7" ht="14.25">
      <c r="A538" s="50"/>
      <c r="B538" s="50"/>
      <c r="C538" s="51"/>
      <c r="D538" s="52"/>
      <c r="E538" s="53"/>
      <c r="F538" s="62"/>
      <c r="G538" s="62"/>
    </row>
    <row r="539" spans="1:7" ht="14.25">
      <c r="A539" s="50"/>
      <c r="B539" s="50"/>
      <c r="C539" s="51"/>
      <c r="D539" s="52"/>
      <c r="E539" s="53"/>
      <c r="F539" s="62"/>
      <c r="G539" s="62"/>
    </row>
    <row r="540" spans="1:7" ht="28.5">
      <c r="A540" s="44" t="s">
        <v>37</v>
      </c>
      <c r="B540" s="44" t="s">
        <v>364</v>
      </c>
      <c r="C540" s="44" t="s">
        <v>30</v>
      </c>
      <c r="D540" s="45" t="s">
        <v>31</v>
      </c>
      <c r="E540" s="45" t="s">
        <v>32</v>
      </c>
      <c r="F540" s="46" t="s">
        <v>33</v>
      </c>
      <c r="G540" s="46" t="s">
        <v>34</v>
      </c>
    </row>
    <row r="541" spans="1:7" ht="28.5">
      <c r="A541" s="536" t="e">
        <f>#REF!</f>
        <v>#REF!</v>
      </c>
      <c r="B541" s="55"/>
      <c r="C541" s="56" t="s">
        <v>82</v>
      </c>
      <c r="D541" s="45"/>
      <c r="E541" s="47"/>
      <c r="F541" s="48"/>
      <c r="G541" s="49"/>
    </row>
    <row r="542" spans="1:7" ht="14.25">
      <c r="A542" s="537"/>
      <c r="B542" s="55" t="s">
        <v>97</v>
      </c>
      <c r="C542" s="57" t="s">
        <v>84</v>
      </c>
      <c r="D542" s="58" t="s">
        <v>57</v>
      </c>
      <c r="E542" s="59">
        <v>1</v>
      </c>
      <c r="F542" s="60">
        <v>2.83</v>
      </c>
      <c r="G542" s="49">
        <f>E542*F542</f>
        <v>2.83</v>
      </c>
    </row>
    <row r="543" spans="1:7" ht="14.25">
      <c r="A543" s="538"/>
      <c r="B543" s="55">
        <v>6115</v>
      </c>
      <c r="C543" s="57" t="s">
        <v>66</v>
      </c>
      <c r="D543" s="58" t="s">
        <v>36</v>
      </c>
      <c r="E543" s="61">
        <v>0.33</v>
      </c>
      <c r="F543" s="48">
        <v>8.12</v>
      </c>
      <c r="G543" s="49">
        <f>E543*F543</f>
        <v>2.6795999999999998</v>
      </c>
    </row>
    <row r="544" spans="1:7" ht="14.25">
      <c r="A544" s="50"/>
      <c r="B544" s="50"/>
      <c r="C544" s="51"/>
      <c r="D544" s="52"/>
      <c r="E544" s="53"/>
      <c r="F544" s="32" t="s">
        <v>35</v>
      </c>
      <c r="G544" s="32">
        <f>SUM(G542:G543)</f>
        <v>5.5096</v>
      </c>
    </row>
    <row r="545" spans="1:7" ht="14.25">
      <c r="A545" s="50"/>
      <c r="B545" s="50"/>
      <c r="C545" s="51"/>
      <c r="D545" s="52"/>
      <c r="E545" s="53"/>
      <c r="F545" s="62"/>
      <c r="G545" s="62"/>
    </row>
    <row r="546" spans="1:7" ht="14.25">
      <c r="A546" s="41"/>
      <c r="B546" s="42"/>
      <c r="C546" s="116"/>
      <c r="D546" s="116"/>
      <c r="E546" s="116"/>
      <c r="F546" s="79"/>
      <c r="G546" s="79"/>
    </row>
    <row r="547" spans="1:7" ht="28.5">
      <c r="A547" s="44" t="s">
        <v>37</v>
      </c>
      <c r="B547" s="44" t="s">
        <v>364</v>
      </c>
      <c r="C547" s="44" t="s">
        <v>30</v>
      </c>
      <c r="D547" s="45" t="s">
        <v>31</v>
      </c>
      <c r="E547" s="45" t="s">
        <v>32</v>
      </c>
      <c r="F547" s="46" t="s">
        <v>33</v>
      </c>
      <c r="G547" s="46" t="s">
        <v>34</v>
      </c>
    </row>
    <row r="548" spans="1:7" ht="28.5">
      <c r="A548" s="528" t="e">
        <f>#REF!</f>
        <v>#REF!</v>
      </c>
      <c r="B548" s="55"/>
      <c r="C548" s="56" t="s">
        <v>83</v>
      </c>
      <c r="D548" s="45"/>
      <c r="E548" s="47"/>
      <c r="F548" s="48"/>
      <c r="G548" s="49"/>
    </row>
    <row r="549" spans="1:7" ht="14.25">
      <c r="A549" s="529"/>
      <c r="B549" s="55" t="s">
        <v>97</v>
      </c>
      <c r="C549" s="57" t="s">
        <v>68</v>
      </c>
      <c r="D549" s="58" t="s">
        <v>57</v>
      </c>
      <c r="E549" s="59">
        <v>1</v>
      </c>
      <c r="F549" s="60">
        <v>7.55</v>
      </c>
      <c r="G549" s="49">
        <f>E549*F549</f>
        <v>7.55</v>
      </c>
    </row>
    <row r="550" spans="1:7" ht="14.25">
      <c r="A550" s="529"/>
      <c r="B550" s="55" t="s">
        <v>97</v>
      </c>
      <c r="C550" s="57" t="s">
        <v>69</v>
      </c>
      <c r="D550" s="58" t="s">
        <v>57</v>
      </c>
      <c r="E550" s="59">
        <v>1</v>
      </c>
      <c r="F550" s="60">
        <v>7.55</v>
      </c>
      <c r="G550" s="49">
        <f>E550*F550</f>
        <v>7.55</v>
      </c>
    </row>
    <row r="551" spans="1:7" ht="14.25">
      <c r="A551" s="530"/>
      <c r="B551" s="55">
        <v>6115</v>
      </c>
      <c r="C551" s="57" t="s">
        <v>66</v>
      </c>
      <c r="D551" s="58" t="s">
        <v>36</v>
      </c>
      <c r="E551" s="61">
        <v>0.33</v>
      </c>
      <c r="F551" s="48">
        <v>8.12</v>
      </c>
      <c r="G551" s="49">
        <f>E551*F551</f>
        <v>2.6795999999999998</v>
      </c>
    </row>
    <row r="552" spans="1:7" ht="14.25">
      <c r="A552" s="50"/>
      <c r="B552" s="50"/>
      <c r="C552" s="51"/>
      <c r="D552" s="52"/>
      <c r="E552" s="53"/>
      <c r="F552" s="32" t="s">
        <v>35</v>
      </c>
      <c r="G552" s="32">
        <f>SUM(G549:G551)</f>
        <v>17.7796</v>
      </c>
    </row>
    <row r="553" spans="1:7" ht="14.25">
      <c r="A553" s="50"/>
      <c r="B553" s="50"/>
      <c r="C553" s="51"/>
      <c r="D553" s="52"/>
      <c r="E553" s="53"/>
      <c r="F553" s="62"/>
      <c r="G553" s="62"/>
    </row>
    <row r="555" spans="1:7" ht="28.5">
      <c r="A555" s="44" t="s">
        <v>37</v>
      </c>
      <c r="B555" s="44" t="s">
        <v>364</v>
      </c>
      <c r="C555" s="44" t="s">
        <v>30</v>
      </c>
      <c r="D555" s="45" t="s">
        <v>31</v>
      </c>
      <c r="E555" s="45" t="s">
        <v>32</v>
      </c>
      <c r="F555" s="46" t="s">
        <v>33</v>
      </c>
      <c r="G555" s="46" t="s">
        <v>34</v>
      </c>
    </row>
    <row r="556" spans="1:7" ht="28.5">
      <c r="A556" s="528" t="e">
        <f>#REF!</f>
        <v>#REF!</v>
      </c>
      <c r="B556" s="55"/>
      <c r="C556" s="56" t="s">
        <v>71</v>
      </c>
      <c r="D556" s="45"/>
      <c r="E556" s="47"/>
      <c r="F556" s="48"/>
      <c r="G556" s="49"/>
    </row>
    <row r="557" spans="1:7" ht="28.5">
      <c r="A557" s="529"/>
      <c r="B557" s="55" t="s">
        <v>97</v>
      </c>
      <c r="C557" s="57" t="s">
        <v>71</v>
      </c>
      <c r="D557" s="58" t="s">
        <v>57</v>
      </c>
      <c r="E557" s="59">
        <v>1</v>
      </c>
      <c r="F557" s="60">
        <v>21.7</v>
      </c>
      <c r="G557" s="49">
        <f>E557*F557</f>
        <v>21.7</v>
      </c>
    </row>
    <row r="558" spans="1:7" ht="14.25">
      <c r="A558" s="529"/>
      <c r="B558" s="113">
        <v>247</v>
      </c>
      <c r="C558" s="175" t="s">
        <v>284</v>
      </c>
      <c r="D558" s="58" t="s">
        <v>36</v>
      </c>
      <c r="E558" s="59">
        <v>0.24</v>
      </c>
      <c r="F558" s="60">
        <v>8.12</v>
      </c>
      <c r="G558" s="49">
        <f>E558*F558</f>
        <v>1.9487999999999996</v>
      </c>
    </row>
    <row r="559" spans="1:7" ht="14.25">
      <c r="A559" s="530"/>
      <c r="B559" s="55">
        <v>2436</v>
      </c>
      <c r="C559" s="57" t="s">
        <v>70</v>
      </c>
      <c r="D559" s="58" t="s">
        <v>36</v>
      </c>
      <c r="E559" s="61">
        <v>0.24</v>
      </c>
      <c r="F559" s="48">
        <v>11.31</v>
      </c>
      <c r="G559" s="49">
        <f>E559*F559</f>
        <v>2.7144</v>
      </c>
    </row>
    <row r="560" spans="1:7" ht="14.25">
      <c r="A560" s="50"/>
      <c r="B560" s="50"/>
      <c r="C560" s="51"/>
      <c r="D560" s="52"/>
      <c r="E560" s="53"/>
      <c r="F560" s="32" t="s">
        <v>35</v>
      </c>
      <c r="G560" s="32">
        <f>SUM(G557:G559)</f>
        <v>26.3632</v>
      </c>
    </row>
    <row r="561" spans="1:7" ht="14.25">
      <c r="A561" s="50"/>
      <c r="B561" s="50"/>
      <c r="C561" s="51"/>
      <c r="D561" s="52"/>
      <c r="E561" s="53"/>
      <c r="F561" s="62"/>
      <c r="G561" s="62"/>
    </row>
    <row r="563" spans="1:7" ht="28.5">
      <c r="A563" s="44" t="s">
        <v>37</v>
      </c>
      <c r="B563" s="44" t="s">
        <v>364</v>
      </c>
      <c r="C563" s="44" t="s">
        <v>30</v>
      </c>
      <c r="D563" s="45" t="s">
        <v>31</v>
      </c>
      <c r="E563" s="45" t="s">
        <v>32</v>
      </c>
      <c r="F563" s="46" t="s">
        <v>33</v>
      </c>
      <c r="G563" s="46" t="s">
        <v>34</v>
      </c>
    </row>
    <row r="564" spans="1:7" ht="14.25">
      <c r="A564" s="528" t="e">
        <f>#REF!</f>
        <v>#REF!</v>
      </c>
      <c r="B564" s="55"/>
      <c r="C564" s="56" t="s">
        <v>85</v>
      </c>
      <c r="D564" s="45"/>
      <c r="E564" s="47"/>
      <c r="F564" s="48"/>
      <c r="G564" s="49"/>
    </row>
    <row r="565" spans="1:7" ht="14.25">
      <c r="A565" s="529"/>
      <c r="B565" s="55" t="s">
        <v>97</v>
      </c>
      <c r="C565" s="57" t="s">
        <v>72</v>
      </c>
      <c r="D565" s="58" t="s">
        <v>57</v>
      </c>
      <c r="E565" s="59">
        <v>1</v>
      </c>
      <c r="F565" s="60">
        <v>17.84</v>
      </c>
      <c r="G565" s="49">
        <f>E565*F565</f>
        <v>17.84</v>
      </c>
    </row>
    <row r="566" spans="1:7" ht="14.25">
      <c r="A566" s="529"/>
      <c r="B566" s="174">
        <v>247</v>
      </c>
      <c r="C566" s="175" t="s">
        <v>284</v>
      </c>
      <c r="D566" s="58" t="s">
        <v>36</v>
      </c>
      <c r="E566" s="59">
        <v>0.54</v>
      </c>
      <c r="F566" s="60">
        <v>8.12</v>
      </c>
      <c r="G566" s="49">
        <f>E566*F566</f>
        <v>4.3848</v>
      </c>
    </row>
    <row r="567" spans="1:7" ht="14.25">
      <c r="A567" s="530"/>
      <c r="B567" s="55">
        <v>2436</v>
      </c>
      <c r="C567" s="57" t="s">
        <v>70</v>
      </c>
      <c r="D567" s="58" t="s">
        <v>36</v>
      </c>
      <c r="E567" s="61">
        <v>0.54</v>
      </c>
      <c r="F567" s="48">
        <v>11.31</v>
      </c>
      <c r="G567" s="49">
        <f>E567*F567</f>
        <v>6.107400000000001</v>
      </c>
    </row>
    <row r="568" spans="1:7" ht="14.25">
      <c r="A568" s="50"/>
      <c r="B568" s="50"/>
      <c r="C568" s="51"/>
      <c r="D568" s="52"/>
      <c r="E568" s="53"/>
      <c r="F568" s="32" t="s">
        <v>35</v>
      </c>
      <c r="G568" s="32">
        <f>SUM(G565:G567)</f>
        <v>28.332200000000004</v>
      </c>
    </row>
    <row r="569" spans="1:7" ht="14.25">
      <c r="A569" s="50"/>
      <c r="B569" s="50"/>
      <c r="C569" s="51"/>
      <c r="D569" s="52"/>
      <c r="E569" s="53"/>
      <c r="F569" s="62"/>
      <c r="G569" s="62"/>
    </row>
    <row r="571" spans="1:7" ht="28.5">
      <c r="A571" s="44" t="s">
        <v>37</v>
      </c>
      <c r="B571" s="44" t="s">
        <v>364</v>
      </c>
      <c r="C571" s="44" t="s">
        <v>30</v>
      </c>
      <c r="D571" s="45" t="s">
        <v>31</v>
      </c>
      <c r="E571" s="45" t="s">
        <v>32</v>
      </c>
      <c r="F571" s="46" t="s">
        <v>33</v>
      </c>
      <c r="G571" s="46" t="s">
        <v>34</v>
      </c>
    </row>
    <row r="572" spans="1:7" ht="14.25">
      <c r="A572" s="528" t="e">
        <f>#REF!</f>
        <v>#REF!</v>
      </c>
      <c r="B572" s="55"/>
      <c r="C572" s="56" t="s">
        <v>86</v>
      </c>
      <c r="D572" s="45"/>
      <c r="E572" s="47"/>
      <c r="F572" s="48"/>
      <c r="G572" s="49"/>
    </row>
    <row r="573" spans="1:7" ht="14.25">
      <c r="A573" s="529"/>
      <c r="B573" s="55" t="s">
        <v>97</v>
      </c>
      <c r="C573" s="57" t="s">
        <v>73</v>
      </c>
      <c r="D573" s="58" t="s">
        <v>57</v>
      </c>
      <c r="E573" s="59">
        <v>1</v>
      </c>
      <c r="F573" s="60">
        <v>315.11</v>
      </c>
      <c r="G573" s="49">
        <f>E573*F573</f>
        <v>315.11</v>
      </c>
    </row>
    <row r="574" spans="1:7" ht="14.25">
      <c r="A574" s="529"/>
      <c r="B574" s="113">
        <v>247</v>
      </c>
      <c r="C574" s="175" t="s">
        <v>284</v>
      </c>
      <c r="D574" s="58" t="s">
        <v>36</v>
      </c>
      <c r="E574" s="59">
        <v>0.54</v>
      </c>
      <c r="F574" s="60">
        <v>8.12</v>
      </c>
      <c r="G574" s="49">
        <f>E574*F574</f>
        <v>4.3848</v>
      </c>
    </row>
    <row r="575" spans="1:7" ht="14.25">
      <c r="A575" s="530"/>
      <c r="B575" s="55">
        <v>2436</v>
      </c>
      <c r="C575" s="57" t="s">
        <v>70</v>
      </c>
      <c r="D575" s="58" t="s">
        <v>36</v>
      </c>
      <c r="E575" s="61">
        <v>0.54</v>
      </c>
      <c r="F575" s="48">
        <v>11.31</v>
      </c>
      <c r="G575" s="49">
        <f>E575*F575</f>
        <v>6.107400000000001</v>
      </c>
    </row>
    <row r="576" spans="1:7" ht="14.25">
      <c r="A576" s="50"/>
      <c r="B576" s="50"/>
      <c r="C576" s="51"/>
      <c r="D576" s="52"/>
      <c r="E576" s="53"/>
      <c r="F576" s="32" t="s">
        <v>35</v>
      </c>
      <c r="G576" s="32">
        <f>SUM(G573:G575)</f>
        <v>325.6022</v>
      </c>
    </row>
    <row r="577" spans="1:7" ht="14.25">
      <c r="A577" s="50"/>
      <c r="B577" s="50"/>
      <c r="C577" s="51"/>
      <c r="D577" s="52"/>
      <c r="E577" s="53"/>
      <c r="F577" s="62"/>
      <c r="G577" s="62"/>
    </row>
    <row r="579" spans="1:7" ht="28.5">
      <c r="A579" s="44" t="s">
        <v>37</v>
      </c>
      <c r="B579" s="44" t="s">
        <v>364</v>
      </c>
      <c r="C579" s="44" t="s">
        <v>30</v>
      </c>
      <c r="D579" s="45" t="s">
        <v>31</v>
      </c>
      <c r="E579" s="45" t="s">
        <v>32</v>
      </c>
      <c r="F579" s="46" t="s">
        <v>33</v>
      </c>
      <c r="G579" s="46" t="s">
        <v>34</v>
      </c>
    </row>
    <row r="580" spans="1:7" ht="28.5">
      <c r="A580" s="528" t="e">
        <f>#REF!</f>
        <v>#REF!</v>
      </c>
      <c r="B580" s="55"/>
      <c r="C580" s="56" t="s">
        <v>87</v>
      </c>
      <c r="D580" s="45"/>
      <c r="E580" s="47"/>
      <c r="F580" s="48"/>
      <c r="G580" s="49"/>
    </row>
    <row r="581" spans="1:7" ht="14.25">
      <c r="A581" s="529"/>
      <c r="B581" s="55" t="s">
        <v>97</v>
      </c>
      <c r="C581" s="57" t="s">
        <v>74</v>
      </c>
      <c r="D581" s="58" t="s">
        <v>57</v>
      </c>
      <c r="E581" s="59">
        <v>1</v>
      </c>
      <c r="F581" s="60">
        <v>45.28</v>
      </c>
      <c r="G581" s="49">
        <f>E581*F581</f>
        <v>45.28</v>
      </c>
    </row>
    <row r="582" spans="1:7" ht="14.25">
      <c r="A582" s="529"/>
      <c r="B582" s="113">
        <v>247</v>
      </c>
      <c r="C582" s="175" t="s">
        <v>284</v>
      </c>
      <c r="D582" s="58" t="s">
        <v>36</v>
      </c>
      <c r="E582" s="59">
        <v>0.54</v>
      </c>
      <c r="F582" s="60">
        <v>8.12</v>
      </c>
      <c r="G582" s="49">
        <f>E582*F582</f>
        <v>4.3848</v>
      </c>
    </row>
    <row r="583" spans="1:7" ht="14.25">
      <c r="A583" s="530"/>
      <c r="B583" s="55">
        <v>2436</v>
      </c>
      <c r="C583" s="57" t="s">
        <v>70</v>
      </c>
      <c r="D583" s="58" t="s">
        <v>36</v>
      </c>
      <c r="E583" s="61">
        <v>0.54</v>
      </c>
      <c r="F583" s="48">
        <v>11.31</v>
      </c>
      <c r="G583" s="49">
        <f>E583*F583</f>
        <v>6.107400000000001</v>
      </c>
    </row>
    <row r="584" spans="1:7" ht="14.25">
      <c r="A584" s="50"/>
      <c r="B584" s="50"/>
      <c r="C584" s="51"/>
      <c r="D584" s="52"/>
      <c r="E584" s="53"/>
      <c r="F584" s="32" t="s">
        <v>35</v>
      </c>
      <c r="G584" s="32">
        <f>SUM(G581:G583)</f>
        <v>55.7722</v>
      </c>
    </row>
    <row r="585" spans="1:7" ht="14.25">
      <c r="A585" s="50"/>
      <c r="B585" s="50"/>
      <c r="C585" s="51"/>
      <c r="D585" s="52"/>
      <c r="E585" s="53"/>
      <c r="F585" s="62"/>
      <c r="G585" s="62"/>
    </row>
    <row r="587" spans="1:7" ht="28.5">
      <c r="A587" s="44" t="s">
        <v>37</v>
      </c>
      <c r="B587" s="44" t="s">
        <v>364</v>
      </c>
      <c r="C587" s="44" t="s">
        <v>30</v>
      </c>
      <c r="D587" s="45" t="s">
        <v>31</v>
      </c>
      <c r="E587" s="45" t="s">
        <v>32</v>
      </c>
      <c r="F587" s="46" t="s">
        <v>33</v>
      </c>
      <c r="G587" s="46" t="s">
        <v>34</v>
      </c>
    </row>
    <row r="588" spans="1:7" ht="28.5">
      <c r="A588" s="531" t="e">
        <f>#REF!</f>
        <v>#REF!</v>
      </c>
      <c r="B588" s="55"/>
      <c r="C588" s="56" t="s">
        <v>88</v>
      </c>
      <c r="D588" s="45"/>
      <c r="E588" s="47"/>
      <c r="F588" s="48"/>
      <c r="G588" s="49"/>
    </row>
    <row r="589" spans="1:7" ht="14.25">
      <c r="A589" s="531"/>
      <c r="B589" s="55" t="s">
        <v>97</v>
      </c>
      <c r="C589" s="57" t="s">
        <v>75</v>
      </c>
      <c r="D589" s="58" t="s">
        <v>57</v>
      </c>
      <c r="E589" s="59">
        <v>1</v>
      </c>
      <c r="F589" s="60">
        <v>3.73</v>
      </c>
      <c r="G589" s="49">
        <f>E589*F589</f>
        <v>3.73</v>
      </c>
    </row>
    <row r="590" spans="1:7" ht="14.25">
      <c r="A590" s="531"/>
      <c r="B590" s="55">
        <v>6115</v>
      </c>
      <c r="C590" s="57" t="s">
        <v>66</v>
      </c>
      <c r="D590" s="58" t="s">
        <v>36</v>
      </c>
      <c r="E590" s="59">
        <v>0.33</v>
      </c>
      <c r="F590" s="60">
        <v>8.12</v>
      </c>
      <c r="G590" s="49">
        <f>E590*F590</f>
        <v>2.6795999999999998</v>
      </c>
    </row>
    <row r="591" spans="1:7" ht="14.25">
      <c r="A591" s="50"/>
      <c r="B591" s="50"/>
      <c r="C591" s="51"/>
      <c r="D591" s="52"/>
      <c r="E591" s="53"/>
      <c r="F591" s="32" t="s">
        <v>35</v>
      </c>
      <c r="G591" s="32">
        <f>SUM(G589:G590)</f>
        <v>6.409599999999999</v>
      </c>
    </row>
  </sheetData>
  <sheetProtection/>
  <mergeCells count="70">
    <mergeCell ref="A330:A335"/>
    <mergeCell ref="A588:A590"/>
    <mergeCell ref="A572:A575"/>
    <mergeCell ref="A564:A567"/>
    <mergeCell ref="A580:A583"/>
    <mergeCell ref="A548:A551"/>
    <mergeCell ref="A556:A559"/>
    <mergeCell ref="A541:A543"/>
    <mergeCell ref="A389:A392"/>
    <mergeCell ref="A397:A400"/>
    <mergeCell ref="A322:A325"/>
    <mergeCell ref="A494:A529"/>
    <mergeCell ref="A421:A424"/>
    <mergeCell ref="A161:A164"/>
    <mergeCell ref="A298:A301"/>
    <mergeCell ref="A314:A317"/>
    <mergeCell ref="A486:A489"/>
    <mergeCell ref="A437:A440"/>
    <mergeCell ref="A429:A432"/>
    <mergeCell ref="A478:A481"/>
    <mergeCell ref="A405:A408"/>
    <mergeCell ref="A126:A129"/>
    <mergeCell ref="A290:A294"/>
    <mergeCell ref="A267:A270"/>
    <mergeCell ref="A133:A136"/>
    <mergeCell ref="A306:A309"/>
    <mergeCell ref="A237:A240"/>
    <mergeCell ref="A175:A178"/>
    <mergeCell ref="A221:A224"/>
    <mergeCell ref="A244:A247"/>
    <mergeCell ref="A1:G1"/>
    <mergeCell ref="B2:C2"/>
    <mergeCell ref="A147:A150"/>
    <mergeCell ref="A28:A44"/>
    <mergeCell ref="A69:A72"/>
    <mergeCell ref="A534:A536"/>
    <mergeCell ref="A182:A185"/>
    <mergeCell ref="A154:A157"/>
    <mergeCell ref="A340:A344"/>
    <mergeCell ref="A198:A201"/>
    <mergeCell ref="B3:C3"/>
    <mergeCell ref="B4:C4"/>
    <mergeCell ref="A98:A101"/>
    <mergeCell ref="A229:A232"/>
    <mergeCell ref="A7:A23"/>
    <mergeCell ref="A49:A58"/>
    <mergeCell ref="A76:A80"/>
    <mergeCell ref="A84:A87"/>
    <mergeCell ref="A62:A65"/>
    <mergeCell ref="A206:A209"/>
    <mergeCell ref="A445:A465"/>
    <mergeCell ref="A470:A473"/>
    <mergeCell ref="A213:A216"/>
    <mergeCell ref="A140:A143"/>
    <mergeCell ref="A168:A171"/>
    <mergeCell ref="A190:A193"/>
    <mergeCell ref="A260:A263"/>
    <mergeCell ref="A252:A255"/>
    <mergeCell ref="A275:A277"/>
    <mergeCell ref="A282:A285"/>
    <mergeCell ref="A381:A384"/>
    <mergeCell ref="A413:A416"/>
    <mergeCell ref="A373:A376"/>
    <mergeCell ref="A349:A353"/>
    <mergeCell ref="A357:A360"/>
    <mergeCell ref="A91:A94"/>
    <mergeCell ref="A105:A108"/>
    <mergeCell ref="A112:A115"/>
    <mergeCell ref="A365:A368"/>
    <mergeCell ref="A119:A122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55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SINFRA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d60437</dc:creator>
  <cp:keywords/>
  <dc:description/>
  <cp:lastModifiedBy>Carlos Gabriel Lacerda Carvalho</cp:lastModifiedBy>
  <cp:lastPrinted>2021-04-09T20:07:24Z</cp:lastPrinted>
  <dcterms:created xsi:type="dcterms:W3CDTF">2005-05-30T13:40:50Z</dcterms:created>
  <dcterms:modified xsi:type="dcterms:W3CDTF">2021-04-09T20:09:21Z</dcterms:modified>
  <cp:category/>
  <cp:version/>
  <cp:contentType/>
  <cp:contentStatus/>
</cp:coreProperties>
</file>